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" windowWidth="19440" windowHeight="7530" activeTab="0"/>
  </bookViews>
  <sheets>
    <sheet name="1０年後開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<sst xmlns="http://schemas.openxmlformats.org/spreadsheetml/2006/main" count="196" uniqueCount="153">
  <si>
    <t>西暦</t>
  </si>
  <si>
    <t>世</t>
  </si>
  <si>
    <t>配</t>
  </si>
  <si>
    <t>子</t>
  </si>
  <si>
    <t>（単位：歳）</t>
  </si>
  <si>
    <t>現在価</t>
  </si>
  <si>
    <t>世帯主の老齢年金</t>
  </si>
  <si>
    <t>配偶者の老齢年金</t>
  </si>
  <si>
    <t>配偶者の遺族年金</t>
  </si>
  <si>
    <t>その他の収入</t>
  </si>
  <si>
    <t>収入合計</t>
  </si>
  <si>
    <t>基本生活費</t>
  </si>
  <si>
    <t>世帯主の収入</t>
  </si>
  <si>
    <t>配偶者の収入</t>
  </si>
  <si>
    <t>住宅費用</t>
  </si>
  <si>
    <t>教育・結婚援助費用</t>
  </si>
  <si>
    <t>車購入費用</t>
  </si>
  <si>
    <t>生命保険・損害保険料</t>
  </si>
  <si>
    <t>所得税・住民税・社会保険料</t>
  </si>
  <si>
    <t>葬儀費用</t>
  </si>
  <si>
    <t>その他の費用</t>
  </si>
  <si>
    <t>余暇費</t>
  </si>
  <si>
    <t>支出合計</t>
  </si>
  <si>
    <t>年度収支</t>
  </si>
  <si>
    <t>年運用益①</t>
  </si>
  <si>
    <t>年末貯蓄残高①</t>
  </si>
  <si>
    <t>項目</t>
  </si>
  <si>
    <t>収入予測</t>
  </si>
  <si>
    <t>支出予測</t>
  </si>
  <si>
    <t>貯蓄推移予測</t>
  </si>
  <si>
    <t>合計</t>
  </si>
  <si>
    <t xml:space="preserve"> </t>
  </si>
  <si>
    <t>上昇率</t>
  </si>
  <si>
    <t>事業用ローン</t>
  </si>
  <si>
    <t>小規模企業共済
個人年金保険</t>
  </si>
  <si>
    <t>【収入の部】</t>
  </si>
  <si>
    <t>■世帯主</t>
  </si>
  <si>
    <t>厚生年金加入期間　</t>
  </si>
  <si>
    <t>基礎年金加入期間　</t>
  </si>
  <si>
    <t>40年</t>
  </si>
  <si>
    <t>老齢厚生年金</t>
  </si>
  <si>
    <t>円</t>
  </si>
  <si>
    <t>老齢基礎年金</t>
  </si>
  <si>
    <t>加給年金</t>
  </si>
  <si>
    <t>■遺族年金</t>
  </si>
  <si>
    <t>遺族基礎年金</t>
  </si>
  <si>
    <t>■貯蓄残高</t>
  </si>
  <si>
    <t>■その他収入</t>
  </si>
  <si>
    <t>継続的バイト2022年迄</t>
  </si>
  <si>
    <t>一時的収入　退職金</t>
  </si>
  <si>
    <t>■配偶者</t>
  </si>
  <si>
    <t>厚生年金加入期間</t>
  </si>
  <si>
    <t>10年</t>
  </si>
  <si>
    <t>基礎年金加入期間</t>
  </si>
  <si>
    <t>40年</t>
  </si>
  <si>
    <t>■配偶者収入</t>
  </si>
  <si>
    <t>（32歳～34歳）</t>
  </si>
  <si>
    <t>■その他収入　</t>
  </si>
  <si>
    <t>退職金</t>
  </si>
  <si>
    <t>【支出の部】</t>
  </si>
  <si>
    <t>■基本生活費</t>
  </si>
  <si>
    <t>現在の生活費</t>
  </si>
  <si>
    <t>500万</t>
  </si>
  <si>
    <t>年額</t>
  </si>
  <si>
    <t>世帯主（退職後）の生活費（2042年）</t>
  </si>
  <si>
    <t>配偶者お一人の生活費（2058年）</t>
  </si>
  <si>
    <t>405万</t>
  </si>
  <si>
    <t>■住宅資金</t>
  </si>
  <si>
    <t>現在居住する住宅（自己所有）　ローン</t>
  </si>
  <si>
    <t>166万</t>
  </si>
  <si>
    <t>住宅の維持管理費・固定資産税</t>
  </si>
  <si>
    <t>■結婚資金</t>
  </si>
  <si>
    <t>30歳で結婚するものとし</t>
  </si>
  <si>
    <t>援助額</t>
  </si>
  <si>
    <t>■葬儀費用</t>
  </si>
  <si>
    <t>葬儀費用・死後の整理資金</t>
  </si>
  <si>
    <t>300万</t>
  </si>
  <si>
    <t>■車</t>
  </si>
  <si>
    <t>7年ごとに買換</t>
  </si>
  <si>
    <t>予算</t>
  </si>
  <si>
    <t>■その他費用</t>
  </si>
  <si>
    <t>余暇生活費（退職前）</t>
  </si>
  <si>
    <t>100万</t>
  </si>
  <si>
    <t>継続的支出：第1子保育園（2012年‐2013年）</t>
  </si>
  <si>
    <t>48万</t>
  </si>
  <si>
    <t>17万</t>
  </si>
  <si>
    <t>65万</t>
  </si>
  <si>
    <t>15万</t>
  </si>
  <si>
    <t>18１万</t>
  </si>
  <si>
    <t>　</t>
  </si>
  <si>
    <t>23年</t>
  </si>
  <si>
    <t>遺族厚生年金</t>
  </si>
  <si>
    <t>　</t>
  </si>
  <si>
    <t>519万</t>
  </si>
  <si>
    <t>お子様の就職後の生活費（2038年）</t>
  </si>
  <si>
    <t>432万</t>
  </si>
  <si>
    <t>継続的支出：学会費（2008年‐2022年）</t>
  </si>
  <si>
    <t>継続的支出：奨学金返済（2010年‐2018年）</t>
  </si>
  <si>
    <t>財前家のC/F分析：45歳開業</t>
  </si>
  <si>
    <t>　</t>
  </si>
  <si>
    <t>構成比
上昇率</t>
  </si>
  <si>
    <t>診療日数</t>
  </si>
  <si>
    <t>1日人数</t>
  </si>
  <si>
    <t>延べ人数</t>
  </si>
  <si>
    <t>診療単価</t>
  </si>
  <si>
    <t>医業収入</t>
  </si>
  <si>
    <t>医業材料費</t>
  </si>
  <si>
    <t>検査委託費</t>
  </si>
  <si>
    <t>医療原価計</t>
  </si>
  <si>
    <t>限界利益</t>
  </si>
  <si>
    <t>人件費</t>
  </si>
  <si>
    <t>賃借料</t>
  </si>
  <si>
    <t>リース料</t>
  </si>
  <si>
    <t>減価償却費</t>
  </si>
  <si>
    <t>消耗品</t>
  </si>
  <si>
    <t>水道光熱費</t>
  </si>
  <si>
    <t>修繕費</t>
  </si>
  <si>
    <t>広告宣伝費</t>
  </si>
  <si>
    <t>接待交際費</t>
  </si>
  <si>
    <t>租税公課</t>
  </si>
  <si>
    <t>研究教育費</t>
  </si>
  <si>
    <t>その他</t>
  </si>
  <si>
    <t>一般管理費</t>
  </si>
  <si>
    <t>販売管理費計</t>
  </si>
  <si>
    <t>医業利益</t>
  </si>
  <si>
    <t>支払利息</t>
  </si>
  <si>
    <t>経常利益</t>
  </si>
  <si>
    <t>事業主所得</t>
  </si>
  <si>
    <t>専従者給与</t>
  </si>
  <si>
    <t>医師国保</t>
  </si>
  <si>
    <t>国民年金</t>
  </si>
  <si>
    <t>基礎控除</t>
  </si>
  <si>
    <t>青色申告控除</t>
  </si>
  <si>
    <t>扶養控除</t>
  </si>
  <si>
    <t>生命保険料控除</t>
  </si>
  <si>
    <t>地震保険控除</t>
  </si>
  <si>
    <t>各種所得控除</t>
  </si>
  <si>
    <t>課税対象</t>
  </si>
  <si>
    <t>所得税</t>
  </si>
  <si>
    <t>住宅減税</t>
  </si>
  <si>
    <t>住民税</t>
  </si>
  <si>
    <t>税引き後</t>
  </si>
  <si>
    <t>元金返済</t>
  </si>
  <si>
    <t>減価償却</t>
  </si>
  <si>
    <t>可処分所得</t>
  </si>
  <si>
    <t>配偶者</t>
  </si>
  <si>
    <t>社会保険料</t>
  </si>
  <si>
    <t>家計可処分所得</t>
  </si>
  <si>
    <t>　</t>
  </si>
  <si>
    <t>2022年</t>
  </si>
  <si>
    <t>2023年</t>
  </si>
  <si>
    <t>2024年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</si>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</sst>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24"/>
      <color indexed="10"/>
      <name val="ＭＳ Ｐゴシック"/>
      <family val="3"/>
    </font>
    <font>
      <sz val="14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24"/>
      <color rgb="FFFF0000"/>
      <name val="Calibri"/>
      <family val="3"/>
    </font>
    <font>
      <sz val="14"/>
      <name val="Calibri"/>
      <family val="3"/>
    </font>
    <font>
      <sz val="11"/>
      <color theme="3" tint="0.39998000860214233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180"/>
    </xf>
    <xf numFmtId="0" fontId="0" fillId="0" borderId="0" xfId="0" applyAlignment="1">
      <alignment horizontal="center" vertical="distributed"/>
    </xf>
    <xf numFmtId="38" fontId="0" fillId="0" borderId="0" xfId="48" applyFont="1" applyAlignment="1">
      <alignment horizontal="right" vertical="distributed"/>
    </xf>
    <xf numFmtId="0" fontId="0" fillId="33" borderId="0" xfId="0" applyFill="1" applyAlignment="1">
      <alignment horizontal="center" vertical="distributed"/>
    </xf>
    <xf numFmtId="0" fontId="0" fillId="0" borderId="0" xfId="0" applyAlignment="1">
      <alignment horizontal="right" vertical="distributed"/>
    </xf>
    <xf numFmtId="0" fontId="0" fillId="13" borderId="10" xfId="0" applyFill="1" applyBorder="1" applyAlignment="1">
      <alignment horizontal="center" vertical="distributed"/>
    </xf>
    <xf numFmtId="10" fontId="0" fillId="13" borderId="10" xfId="0" applyNumberFormat="1" applyFill="1" applyBorder="1" applyAlignment="1">
      <alignment horizontal="center" vertical="distributed"/>
    </xf>
    <xf numFmtId="0" fontId="0" fillId="13" borderId="10" xfId="0" applyFill="1" applyBorder="1" applyAlignment="1">
      <alignment horizontal="right" vertical="distributed"/>
    </xf>
    <xf numFmtId="0" fontId="0" fillId="34" borderId="10" xfId="0" applyFill="1" applyBorder="1" applyAlignment="1">
      <alignment horizontal="center" vertical="distributed"/>
    </xf>
    <xf numFmtId="0" fontId="0" fillId="35" borderId="10" xfId="0" applyFill="1" applyBorder="1" applyAlignment="1">
      <alignment horizontal="center" vertical="distributed"/>
    </xf>
    <xf numFmtId="0" fontId="0" fillId="12" borderId="10" xfId="0" applyFill="1" applyBorder="1" applyAlignment="1">
      <alignment horizontal="center" vertical="distributed"/>
    </xf>
    <xf numFmtId="38" fontId="0" fillId="35" borderId="10" xfId="48" applyFont="1" applyFill="1" applyBorder="1" applyAlignment="1">
      <alignment horizontal="right" vertical="distributed"/>
    </xf>
    <xf numFmtId="38" fontId="0" fillId="34" borderId="10" xfId="48" applyFont="1" applyFill="1" applyBorder="1" applyAlignment="1">
      <alignment horizontal="right" vertical="distributed"/>
    </xf>
    <xf numFmtId="38" fontId="0" fillId="12" borderId="10" xfId="48" applyFont="1" applyFill="1" applyBorder="1" applyAlignment="1">
      <alignment horizontal="right" vertical="distributed"/>
    </xf>
    <xf numFmtId="0" fontId="0" fillId="16" borderId="10" xfId="0" applyFill="1" applyBorder="1" applyAlignment="1">
      <alignment vertical="center"/>
    </xf>
    <xf numFmtId="0" fontId="0" fillId="12" borderId="10" xfId="0" applyFill="1" applyBorder="1" applyAlignment="1">
      <alignment horizontal="right" vertical="distributed"/>
    </xf>
    <xf numFmtId="0" fontId="0" fillId="16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horizontal="right" vertical="distributed"/>
    </xf>
    <xf numFmtId="0" fontId="0" fillId="0" borderId="12" xfId="0" applyBorder="1" applyAlignment="1">
      <alignment horizontal="center" vertical="distributed"/>
    </xf>
    <xf numFmtId="38" fontId="0" fillId="13" borderId="10" xfId="0" applyNumberFormat="1" applyFill="1" applyBorder="1" applyAlignment="1">
      <alignment horizontal="right" vertical="distributed"/>
    </xf>
    <xf numFmtId="1" fontId="0" fillId="13" borderId="10" xfId="0" applyNumberFormat="1" applyFill="1" applyBorder="1" applyAlignment="1">
      <alignment horizontal="right" vertical="distributed"/>
    </xf>
    <xf numFmtId="0" fontId="0" fillId="34" borderId="10" xfId="0" applyFill="1" applyBorder="1" applyAlignment="1">
      <alignment horizontal="right" vertical="distributed"/>
    </xf>
    <xf numFmtId="0" fontId="0" fillId="33" borderId="0" xfId="0" applyFill="1" applyBorder="1" applyAlignment="1">
      <alignment horizontal="center" vertical="distributed"/>
    </xf>
    <xf numFmtId="9" fontId="0" fillId="12" borderId="10" xfId="0" applyNumberFormat="1" applyFill="1" applyBorder="1" applyAlignment="1">
      <alignment horizontal="center" vertical="distributed"/>
    </xf>
    <xf numFmtId="176" fontId="0" fillId="12" borderId="10" xfId="0" applyNumberFormat="1" applyFill="1" applyBorder="1" applyAlignment="1">
      <alignment horizontal="center" vertical="distributed"/>
    </xf>
    <xf numFmtId="9" fontId="0" fillId="35" borderId="10" xfId="0" applyNumberFormat="1" applyFill="1" applyBorder="1" applyAlignment="1">
      <alignment horizontal="center" vertical="distributed"/>
    </xf>
    <xf numFmtId="1" fontId="0" fillId="12" borderId="10" xfId="0" applyNumberFormat="1" applyFill="1" applyBorder="1" applyAlignment="1">
      <alignment horizontal="right" vertical="distributed"/>
    </xf>
    <xf numFmtId="38" fontId="0" fillId="35" borderId="10" xfId="48" applyFont="1" applyFill="1" applyBorder="1" applyAlignment="1">
      <alignment vertical="distributed"/>
    </xf>
    <xf numFmtId="0" fontId="0" fillId="35" borderId="10" xfId="0" applyFill="1" applyBorder="1" applyAlignment="1">
      <alignment vertical="distributed"/>
    </xf>
    <xf numFmtId="38" fontId="0" fillId="35" borderId="10" xfId="0" applyNumberFormat="1" applyFill="1" applyBorder="1" applyAlignment="1">
      <alignment vertical="distributed"/>
    </xf>
    <xf numFmtId="38" fontId="0" fillId="35" borderId="11" xfId="48" applyFont="1" applyFill="1" applyBorder="1" applyAlignment="1">
      <alignment vertical="distributed"/>
    </xf>
    <xf numFmtId="0" fontId="0" fillId="35" borderId="11" xfId="0" applyFill="1" applyBorder="1" applyAlignment="1">
      <alignment vertical="distributed"/>
    </xf>
    <xf numFmtId="38" fontId="0" fillId="35" borderId="11" xfId="0" applyNumberFormat="1" applyFill="1" applyBorder="1" applyAlignment="1">
      <alignment vertical="distributed"/>
    </xf>
    <xf numFmtId="0" fontId="0" fillId="16" borderId="13" xfId="0" applyFill="1" applyBorder="1" applyAlignment="1">
      <alignment vertical="center"/>
    </xf>
    <xf numFmtId="0" fontId="0" fillId="16" borderId="14" xfId="0" applyFill="1" applyBorder="1" applyAlignment="1">
      <alignment vertical="center"/>
    </xf>
    <xf numFmtId="0" fontId="0" fillId="15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distributed"/>
    </xf>
    <xf numFmtId="38" fontId="0" fillId="35" borderId="10" xfId="0" applyNumberFormat="1" applyFill="1" applyBorder="1" applyAlignment="1">
      <alignment horizontal="right" vertical="distributed"/>
    </xf>
    <xf numFmtId="0" fontId="0" fillId="33" borderId="0" xfId="0" applyFill="1" applyAlignment="1">
      <alignment horizontal="right" vertical="distributed"/>
    </xf>
    <xf numFmtId="0" fontId="0" fillId="0" borderId="0" xfId="0" applyAlignment="1">
      <alignment horizontal="right" vertical="center"/>
    </xf>
    <xf numFmtId="0" fontId="0" fillId="35" borderId="10" xfId="0" applyFill="1" applyBorder="1" applyAlignment="1">
      <alignment horizontal="center" vertical="top" textRotation="255" wrapText="1"/>
    </xf>
    <xf numFmtId="0" fontId="0" fillId="33" borderId="0" xfId="0" applyFill="1" applyBorder="1" applyAlignment="1">
      <alignment horizontal="center" vertical="top" textRotation="255"/>
    </xf>
    <xf numFmtId="0" fontId="0" fillId="12" borderId="10" xfId="0" applyFill="1" applyBorder="1" applyAlignment="1">
      <alignment horizontal="center" vertical="top" textRotation="255"/>
    </xf>
    <xf numFmtId="0" fontId="0" fillId="13" borderId="10" xfId="0" applyFill="1" applyBorder="1" applyAlignment="1">
      <alignment horizontal="center" vertical="top" textRotation="255"/>
    </xf>
    <xf numFmtId="0" fontId="0" fillId="13" borderId="10" xfId="0" applyFill="1" applyBorder="1" applyAlignment="1">
      <alignment horizontal="right" vertical="top" textRotation="255"/>
    </xf>
    <xf numFmtId="0" fontId="0" fillId="35" borderId="10" xfId="48" applyNumberFormat="1" applyFont="1" applyFill="1" applyBorder="1" applyAlignment="1">
      <alignment horizontal="center" vertical="top" textRotation="255" wrapText="1"/>
    </xf>
    <xf numFmtId="0" fontId="43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38" fontId="0" fillId="4" borderId="0" xfId="48" applyFont="1" applyFill="1" applyAlignment="1">
      <alignment horizontal="right" vertical="distributed"/>
    </xf>
    <xf numFmtId="0" fontId="4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5" fillId="36" borderId="0" xfId="0" applyFont="1" applyFill="1" applyAlignment="1">
      <alignment vertical="center"/>
    </xf>
    <xf numFmtId="0" fontId="45" fillId="36" borderId="0" xfId="0" applyFont="1" applyFill="1" applyAlignment="1">
      <alignment vertical="center"/>
    </xf>
    <xf numFmtId="38" fontId="45" fillId="36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Border="1" applyAlignment="1">
      <alignment vertical="center"/>
    </xf>
    <xf numFmtId="1" fontId="34" fillId="13" borderId="10" xfId="0" applyNumberFormat="1" applyFont="1" applyFill="1" applyBorder="1" applyAlignment="1">
      <alignment horizontal="right" vertical="distributed"/>
    </xf>
    <xf numFmtId="1" fontId="46" fillId="13" borderId="10" xfId="0" applyNumberFormat="1" applyFont="1" applyFill="1" applyBorder="1" applyAlignment="1">
      <alignment horizontal="right" vertical="distributed"/>
    </xf>
    <xf numFmtId="38" fontId="0" fillId="33" borderId="10" xfId="0" applyNumberFormat="1" applyFill="1" applyBorder="1" applyAlignment="1">
      <alignment horizontal="right" vertical="distributed"/>
    </xf>
    <xf numFmtId="0" fontId="34" fillId="33" borderId="10" xfId="0" applyFont="1" applyFill="1" applyBorder="1" applyAlignment="1">
      <alignment horizontal="center" vertical="distributed"/>
    </xf>
    <xf numFmtId="0" fontId="47" fillId="0" borderId="0" xfId="0" applyFont="1" applyFill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38" fontId="46" fillId="0" borderId="19" xfId="48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0" xfId="0" applyFont="1" applyAlignment="1">
      <alignment vertical="center"/>
    </xf>
    <xf numFmtId="38" fontId="46" fillId="0" borderId="0" xfId="48" applyFont="1" applyAlignment="1">
      <alignment vertical="center"/>
    </xf>
    <xf numFmtId="0" fontId="48" fillId="36" borderId="0" xfId="0" applyFont="1" applyFill="1" applyAlignment="1">
      <alignment vertical="center"/>
    </xf>
    <xf numFmtId="38" fontId="48" fillId="36" borderId="0" xfId="48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0" borderId="0" xfId="48" applyFont="1" applyFill="1" applyAlignment="1">
      <alignment vertical="center"/>
    </xf>
    <xf numFmtId="38" fontId="46" fillId="0" borderId="12" xfId="48" applyFont="1" applyBorder="1" applyAlignment="1">
      <alignment vertical="center"/>
    </xf>
    <xf numFmtId="38" fontId="1" fillId="37" borderId="10" xfId="48" applyFont="1" applyFill="1" applyBorder="1" applyAlignment="1">
      <alignment vertical="distributed"/>
    </xf>
    <xf numFmtId="0" fontId="0" fillId="37" borderId="10" xfId="0" applyFill="1" applyBorder="1" applyAlignment="1">
      <alignment vertical="distributed"/>
    </xf>
    <xf numFmtId="0" fontId="0" fillId="38" borderId="10" xfId="0" applyFill="1" applyBorder="1" applyAlignment="1">
      <alignment vertical="distributed"/>
    </xf>
    <xf numFmtId="0" fontId="0" fillId="37" borderId="10" xfId="0" applyFont="1" applyFill="1" applyBorder="1" applyAlignment="1">
      <alignment vertical="distributed"/>
    </xf>
    <xf numFmtId="0" fontId="7" fillId="37" borderId="10" xfId="0" applyFont="1" applyFill="1" applyBorder="1" applyAlignment="1">
      <alignment vertical="distributed"/>
    </xf>
    <xf numFmtId="0" fontId="0" fillId="39" borderId="10" xfId="0" applyFill="1" applyBorder="1" applyAlignment="1">
      <alignment horizontal="center" vertical="center"/>
    </xf>
    <xf numFmtId="38" fontId="46" fillId="0" borderId="0" xfId="48" applyFont="1" applyBorder="1" applyAlignment="1">
      <alignment horizontal="right" vertical="center"/>
    </xf>
    <xf numFmtId="38" fontId="1" fillId="12" borderId="10" xfId="48" applyFont="1" applyFill="1" applyBorder="1" applyAlignment="1">
      <alignment vertical="center"/>
    </xf>
    <xf numFmtId="1" fontId="0" fillId="40" borderId="10" xfId="0" applyNumberFormat="1" applyFill="1" applyBorder="1" applyAlignment="1">
      <alignment horizontal="right" vertical="distributed"/>
    </xf>
    <xf numFmtId="0" fontId="0" fillId="15" borderId="10" xfId="0" applyFill="1" applyBorder="1" applyAlignment="1">
      <alignment horizontal="center" vertical="distributed"/>
    </xf>
    <xf numFmtId="0" fontId="0" fillId="16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38" fontId="0" fillId="41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38" fontId="49" fillId="0" borderId="10" xfId="48" applyFont="1" applyFill="1" applyBorder="1" applyAlignment="1">
      <alignment vertical="center"/>
    </xf>
    <xf numFmtId="38" fontId="0" fillId="41" borderId="10" xfId="0" applyNumberForma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46" fillId="0" borderId="10" xfId="48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38" fontId="46" fillId="0" borderId="1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0" fillId="42" borderId="10" xfId="48" applyFont="1" applyFill="1" applyBorder="1" applyAlignment="1">
      <alignment vertical="center"/>
    </xf>
    <xf numFmtId="177" fontId="0" fillId="0" borderId="10" xfId="42" applyNumberFormat="1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0" fillId="43" borderId="10" xfId="0" applyNumberFormat="1" applyFill="1" applyBorder="1" applyAlignment="1">
      <alignment vertical="center"/>
    </xf>
    <xf numFmtId="38" fontId="7" fillId="43" borderId="10" xfId="0" applyNumberFormat="1" applyFont="1" applyFill="1" applyBorder="1" applyAlignment="1">
      <alignment vertical="center"/>
    </xf>
    <xf numFmtId="38" fontId="46" fillId="43" borderId="10" xfId="0" applyNumberFormat="1" applyFont="1" applyFill="1" applyBorder="1" applyAlignment="1">
      <alignment vertical="center"/>
    </xf>
    <xf numFmtId="0" fontId="0" fillId="12" borderId="10" xfId="0" applyFont="1" applyFill="1" applyBorder="1" applyAlignment="1">
      <alignment horizontal="right" vertical="distributed"/>
    </xf>
    <xf numFmtId="0" fontId="0" fillId="15" borderId="10" xfId="0" applyFill="1" applyBorder="1" applyAlignment="1">
      <alignment horizontal="center" vertical="distributed"/>
    </xf>
    <xf numFmtId="0" fontId="0" fillId="34" borderId="1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'1０年後開業'!$P$6</c:f>
              <c:strCache>
                <c:ptCount val="1"/>
                <c:pt idx="0">
                  <c:v>基本生活費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'1０年後開業'!$P$7:$P$41</c:f>
              <c:numCache/>
            </c:numRef>
          </c:val>
        </c:ser>
        <c:ser>
          <c:idx val="1"/>
          <c:order val="1"/>
          <c:tx>
            <c:strRef>
              <c:f>'1０年後開業'!$Q$6</c:f>
              <c:strCache>
                <c:ptCount val="1"/>
                <c:pt idx="0">
                  <c:v>住宅費用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'1０年後開業'!$Q$7:$Q$41</c:f>
              <c:numCache/>
            </c:numRef>
          </c:val>
        </c:ser>
        <c:ser>
          <c:idx val="2"/>
          <c:order val="2"/>
          <c:tx>
            <c:strRef>
              <c:f>'1０年後開業'!$R$6</c:f>
              <c:strCache>
                <c:ptCount val="1"/>
                <c:pt idx="0">
                  <c:v>教育・結婚援助費用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'1０年後開業'!$R$7:$R$41</c:f>
              <c:numCache/>
            </c:numRef>
          </c:val>
        </c:ser>
        <c:ser>
          <c:idx val="3"/>
          <c:order val="3"/>
          <c:tx>
            <c:strRef>
              <c:f>'1０年後開業'!$S$6</c:f>
              <c:strCache>
                <c:ptCount val="1"/>
                <c:pt idx="0">
                  <c:v>車購入費用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'1０年後開業'!$S$7:$S$41</c:f>
              <c:numCache/>
            </c:numRef>
          </c:val>
        </c:ser>
        <c:ser>
          <c:idx val="4"/>
          <c:order val="4"/>
          <c:tx>
            <c:strRef>
              <c:f>'1０年後開業'!$T$6</c:f>
              <c:strCache>
                <c:ptCount val="1"/>
                <c:pt idx="0">
                  <c:v>生命保険・損害保険料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'1０年後開業'!$T$7:$T$41</c:f>
              <c:numCache/>
            </c:numRef>
          </c:val>
        </c:ser>
        <c:ser>
          <c:idx val="5"/>
          <c:order val="5"/>
          <c:tx>
            <c:strRef>
              <c:f>'1０年後開業'!$U$6</c:f>
              <c:strCache>
                <c:ptCount val="1"/>
                <c:pt idx="0">
                  <c:v>所得税・住民税・社会保険料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'1０年後開業'!$U$7:$U$41</c:f>
              <c:numCache/>
            </c:numRef>
          </c:val>
        </c:ser>
        <c:ser>
          <c:idx val="6"/>
          <c:order val="6"/>
          <c:tx>
            <c:strRef>
              <c:f>'1０年後開業'!$V$6</c:f>
              <c:strCache>
                <c:ptCount val="1"/>
                <c:pt idx="0">
                  <c:v>葬儀費用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'1０年後開業'!$V$7:$V$41</c:f>
              <c:numCache/>
            </c:numRef>
          </c:val>
        </c:ser>
        <c:ser>
          <c:idx val="7"/>
          <c:order val="7"/>
          <c:tx>
            <c:strRef>
              <c:f>'1０年後開業'!$W$6</c:f>
              <c:strCache>
                <c:ptCount val="1"/>
                <c:pt idx="0">
                  <c:v>その他の費用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'1０年後開業'!$W$7:$W$41</c:f>
              <c:numCache/>
            </c:numRef>
          </c:val>
        </c:ser>
        <c:ser>
          <c:idx val="8"/>
          <c:order val="8"/>
          <c:tx>
            <c:strRef>
              <c:f>'1０年後開業'!$X$6</c:f>
              <c:strCache>
                <c:ptCount val="1"/>
                <c:pt idx="0">
                  <c:v>余暇費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'1０年後開業'!$X$7:$X$41</c:f>
              <c:numCache/>
            </c:numRef>
          </c:val>
        </c:ser>
        <c:ser>
          <c:idx val="9"/>
          <c:order val="9"/>
          <c:tx>
            <c:strRef>
              <c:f>'1０年後開業'!$Y$6</c:f>
              <c:strCache>
                <c:ptCount val="1"/>
                <c:pt idx="0">
                  <c:v>事業用ローン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'1０年後開業'!$Y$7:$Y$41</c:f>
              <c:numCache/>
            </c:numRef>
          </c:val>
        </c:ser>
        <c:overlap val="100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'1０年後開業'!$AB$6</c:f>
              <c:strCache>
                <c:ptCount val="1"/>
                <c:pt idx="0">
                  <c:v>年度収支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'1０年後開業'!$AB$7:$AB$41</c:f>
              <c:numCache/>
            </c:numRef>
          </c:val>
        </c:ser>
        <c:ser>
          <c:idx val="1"/>
          <c:order val="1"/>
          <c:tx>
            <c:strRef>
              <c:f>'1０年後開業'!$AC$6</c:f>
              <c:strCache>
                <c:ptCount val="1"/>
                <c:pt idx="0">
                  <c:v>年運用益①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'1０年後開業'!$AC$7:$AC$41</c:f>
              <c:numCache/>
            </c:numRef>
          </c:val>
        </c:ser>
        <c:ser>
          <c:idx val="2"/>
          <c:order val="2"/>
          <c:tx>
            <c:strRef>
              <c:f>'1０年後開業'!$AD$6</c:f>
              <c:strCache>
                <c:ptCount val="1"/>
                <c:pt idx="0">
                  <c:v>年末貯蓄残高①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'1０年後開業'!$AD$7:$AD$41</c:f>
              <c:numCache/>
            </c:numRef>
          </c:val>
        </c:ser>
        <c:overlap val="100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48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390525</xdr:colOff>
      <xdr:row>5</xdr:row>
      <xdr:rowOff>676275</xdr:rowOff>
    </xdr:from>
    <xdr:ext cx="333375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086475" y="16573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104775</xdr:colOff>
      <xdr:row>69</xdr:row>
      <xdr:rowOff>0</xdr:rowOff>
    </xdr:from>
    <xdr:to>
      <xdr:col>24</xdr:col>
      <xdr:colOff>209550</xdr:colOff>
      <xdr:row>69</xdr:row>
      <xdr:rowOff>0</xdr:rowOff>
    </xdr:to>
    <xdr:graphicFrame>
      <xdr:nvGraphicFramePr>
        <xdr:cNvPr id="2" name="グラフ 2"/>
        <xdr:cNvGraphicFramePr/>
      </xdr:nvGraphicFramePr>
      <xdr:xfrm>
        <a:off x="104775" y="13820775"/>
        <a:ext cx="932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69</xdr:row>
      <xdr:rowOff>0</xdr:rowOff>
    </xdr:from>
    <xdr:to>
      <xdr:col>23</xdr:col>
      <xdr:colOff>123825</xdr:colOff>
      <xdr:row>69</xdr:row>
      <xdr:rowOff>0</xdr:rowOff>
    </xdr:to>
    <xdr:graphicFrame>
      <xdr:nvGraphicFramePr>
        <xdr:cNvPr id="3" name="グラフ 3"/>
        <xdr:cNvGraphicFramePr/>
      </xdr:nvGraphicFramePr>
      <xdr:xfrm>
        <a:off x="295275" y="13820775"/>
        <a:ext cx="8658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600075</xdr:colOff>
      <xdr:row>5</xdr:row>
      <xdr:rowOff>190500</xdr:rowOff>
    </xdr:from>
    <xdr:to>
      <xdr:col>34</xdr:col>
      <xdr:colOff>428625</xdr:colOff>
      <xdr:row>5</xdr:row>
      <xdr:rowOff>657225</xdr:rowOff>
    </xdr:to>
    <xdr:sp>
      <xdr:nvSpPr>
        <xdr:cNvPr id="4" name="角丸四角形 4"/>
        <xdr:cNvSpPr>
          <a:spLocks/>
        </xdr:cNvSpPr>
      </xdr:nvSpPr>
      <xdr:spPr>
        <a:xfrm>
          <a:off x="12182475" y="1171575"/>
          <a:ext cx="4419600" cy="466725"/>
        </a:xfrm>
        <a:prstGeom prst="round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キャッシュフロー表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O68"/>
  <sheetViews>
    <sheetView tabSelected="1" zoomScale="50" zoomScaleNormal="50" zoomScalePageLayoutView="0" workbookViewId="0" topLeftCell="A1">
      <selection activeCell="D73" sqref="D73"/>
    </sheetView>
  </sheetViews>
  <sheetFormatPr defaultColWidth="9.140625" defaultRowHeight="15"/>
  <cols>
    <col min="2" max="2" width="7.7109375" style="1" customWidth="1"/>
    <col min="3" max="6" width="4.8515625" style="0" customWidth="1"/>
    <col min="7" max="7" width="6.8515625" style="4" bestFit="1" customWidth="1"/>
    <col min="8" max="8" width="5.421875" style="3" customWidth="1"/>
    <col min="9" max="11" width="5.8515625" style="3" bestFit="1" customWidth="1"/>
    <col min="12" max="12" width="5.57421875" style="3" customWidth="1"/>
    <col min="13" max="13" width="5.8515625" style="3" bestFit="1" customWidth="1"/>
    <col min="14" max="14" width="6.8515625" style="3" bestFit="1" customWidth="1"/>
    <col min="15" max="15" width="0.9921875" style="5" customWidth="1"/>
    <col min="16" max="17" width="6.8515625" style="3" bestFit="1" customWidth="1"/>
    <col min="18" max="20" width="5.8515625" style="3" bestFit="1" customWidth="1"/>
    <col min="21" max="21" width="6.8515625" style="3" bestFit="1" customWidth="1"/>
    <col min="22" max="23" width="4.421875" style="3" bestFit="1" customWidth="1"/>
    <col min="24" max="24" width="5.8515625" style="3" bestFit="1" customWidth="1"/>
    <col min="25" max="25" width="5.8515625" style="3" customWidth="1"/>
    <col min="26" max="26" width="6.8515625" style="3" bestFit="1" customWidth="1"/>
    <col min="27" max="27" width="0.9921875" style="5" customWidth="1"/>
    <col min="28" max="28" width="7.8515625" style="3" customWidth="1"/>
    <col min="29" max="29" width="5.8515625" style="3" bestFit="1" customWidth="1"/>
    <col min="30" max="30" width="8.00390625" style="6" customWidth="1"/>
    <col min="32" max="32" width="13.7109375" style="0" customWidth="1"/>
    <col min="33" max="33" width="35.421875" style="0" customWidth="1"/>
    <col min="34" max="34" width="10.57421875" style="0" bestFit="1" customWidth="1"/>
    <col min="35" max="35" width="6.421875" style="0" customWidth="1"/>
  </cols>
  <sheetData>
    <row r="3" spans="2:7" ht="17.25">
      <c r="B3" s="52" t="s">
        <v>98</v>
      </c>
      <c r="C3" s="53"/>
      <c r="D3" s="53"/>
      <c r="E3" s="53"/>
      <c r="F3" s="53"/>
      <c r="G3" s="54"/>
    </row>
    <row r="6" spans="2:41" ht="149.25" customHeight="1">
      <c r="B6" s="124"/>
      <c r="C6" s="124"/>
      <c r="D6" s="125"/>
      <c r="E6" s="128" t="s">
        <v>26</v>
      </c>
      <c r="F6" s="129"/>
      <c r="G6" s="51" t="s">
        <v>12</v>
      </c>
      <c r="H6" s="46" t="s">
        <v>13</v>
      </c>
      <c r="I6" s="46" t="s">
        <v>6</v>
      </c>
      <c r="J6" s="46" t="s">
        <v>7</v>
      </c>
      <c r="K6" s="46" t="s">
        <v>8</v>
      </c>
      <c r="L6" s="46" t="s">
        <v>34</v>
      </c>
      <c r="M6" s="46" t="s">
        <v>9</v>
      </c>
      <c r="N6" s="46" t="s">
        <v>10</v>
      </c>
      <c r="O6" s="47"/>
      <c r="P6" s="48" t="s">
        <v>11</v>
      </c>
      <c r="Q6" s="48" t="s">
        <v>14</v>
      </c>
      <c r="R6" s="48" t="s">
        <v>15</v>
      </c>
      <c r="S6" s="48" t="s">
        <v>16</v>
      </c>
      <c r="T6" s="48" t="s">
        <v>17</v>
      </c>
      <c r="U6" s="48" t="s">
        <v>18</v>
      </c>
      <c r="V6" s="48" t="s">
        <v>19</v>
      </c>
      <c r="W6" s="48" t="s">
        <v>20</v>
      </c>
      <c r="X6" s="48" t="s">
        <v>21</v>
      </c>
      <c r="Y6" s="48" t="s">
        <v>33</v>
      </c>
      <c r="Z6" s="48" t="s">
        <v>22</v>
      </c>
      <c r="AA6" s="47"/>
      <c r="AB6" s="49" t="s">
        <v>23</v>
      </c>
      <c r="AC6" s="49" t="s">
        <v>24</v>
      </c>
      <c r="AD6" s="50" t="s">
        <v>25</v>
      </c>
      <c r="AE6" s="2"/>
      <c r="AF6" s="55"/>
      <c r="AG6" s="61"/>
      <c r="AH6" s="61"/>
      <c r="AI6" s="61"/>
      <c r="AJ6" s="2"/>
      <c r="AK6" s="2"/>
      <c r="AL6" s="2"/>
      <c r="AM6" s="2"/>
      <c r="AN6" s="2"/>
      <c r="AO6" s="2"/>
    </row>
    <row r="7" spans="2:35" ht="18.75">
      <c r="B7" s="126"/>
      <c r="C7" s="126"/>
      <c r="D7" s="127"/>
      <c r="E7" s="128" t="s">
        <v>5</v>
      </c>
      <c r="F7" s="129"/>
      <c r="G7" s="13"/>
      <c r="H7" s="11"/>
      <c r="I7" s="11"/>
      <c r="J7" s="11"/>
      <c r="K7" s="11"/>
      <c r="L7" s="11"/>
      <c r="M7" s="11"/>
      <c r="N7" s="11"/>
      <c r="O7" s="26"/>
      <c r="P7" s="27">
        <v>5</v>
      </c>
      <c r="Q7" s="28">
        <v>0.00875</v>
      </c>
      <c r="R7" s="12"/>
      <c r="S7" s="12">
        <v>500</v>
      </c>
      <c r="T7" s="12"/>
      <c r="U7" s="12"/>
      <c r="V7" s="12">
        <v>300</v>
      </c>
      <c r="W7" s="12"/>
      <c r="X7" s="12">
        <v>100</v>
      </c>
      <c r="Y7" s="12"/>
      <c r="Z7" s="12"/>
      <c r="AA7" s="26"/>
      <c r="AB7" s="7" t="s">
        <v>31</v>
      </c>
      <c r="AC7" s="8">
        <v>0.002</v>
      </c>
      <c r="AD7" s="9">
        <v>1000</v>
      </c>
      <c r="AF7" s="55"/>
      <c r="AG7" s="56"/>
      <c r="AH7" s="56"/>
      <c r="AI7" s="56"/>
    </row>
    <row r="8" spans="2:35" ht="17.25">
      <c r="B8" s="126"/>
      <c r="C8" s="126"/>
      <c r="D8" s="127"/>
      <c r="E8" s="128" t="s">
        <v>32</v>
      </c>
      <c r="F8" s="128"/>
      <c r="G8" s="13"/>
      <c r="H8" s="11"/>
      <c r="I8" s="29">
        <v>0.01</v>
      </c>
      <c r="J8" s="29">
        <v>0.01</v>
      </c>
      <c r="K8" s="29">
        <v>0.01</v>
      </c>
      <c r="L8" s="11"/>
      <c r="M8" s="11"/>
      <c r="N8" s="11"/>
      <c r="O8" s="26"/>
      <c r="P8" s="27">
        <v>0.01</v>
      </c>
      <c r="Q8" s="12"/>
      <c r="R8" s="27">
        <v>0.01</v>
      </c>
      <c r="S8" s="12"/>
      <c r="T8" s="12"/>
      <c r="U8" s="12"/>
      <c r="V8" s="27">
        <v>0.01</v>
      </c>
      <c r="W8" s="12"/>
      <c r="X8" s="27">
        <v>0.01</v>
      </c>
      <c r="Y8" s="27"/>
      <c r="Z8" s="12"/>
      <c r="AA8" s="26"/>
      <c r="AB8" s="7"/>
      <c r="AC8" s="8"/>
      <c r="AD8" s="9"/>
      <c r="AF8" s="57" t="s">
        <v>35</v>
      </c>
      <c r="AG8" s="58"/>
      <c r="AH8" s="59"/>
      <c r="AI8" s="58"/>
    </row>
    <row r="9" spans="5:34" ht="13.5">
      <c r="E9" t="s">
        <v>4</v>
      </c>
      <c r="AA9" s="26"/>
      <c r="AH9" s="60"/>
    </row>
    <row r="10" spans="2:35" ht="13.5">
      <c r="B10" s="39" t="s">
        <v>0</v>
      </c>
      <c r="C10" s="39" t="s">
        <v>1</v>
      </c>
      <c r="D10" s="39" t="s">
        <v>2</v>
      </c>
      <c r="E10" s="39" t="s">
        <v>3</v>
      </c>
      <c r="F10" s="39" t="s">
        <v>3</v>
      </c>
      <c r="G10" s="130" t="s">
        <v>27</v>
      </c>
      <c r="H10" s="130"/>
      <c r="I10" s="130"/>
      <c r="J10" s="130"/>
      <c r="K10" s="130"/>
      <c r="L10" s="130"/>
      <c r="M10" s="130"/>
      <c r="N10" s="96"/>
      <c r="P10" s="122" t="s">
        <v>28</v>
      </c>
      <c r="Q10" s="122"/>
      <c r="R10" s="122"/>
      <c r="S10" s="122"/>
      <c r="T10" s="122"/>
      <c r="U10" s="122"/>
      <c r="V10" s="122"/>
      <c r="W10" s="122"/>
      <c r="X10" s="122"/>
      <c r="Y10" s="94"/>
      <c r="Z10" s="94"/>
      <c r="AB10" s="122" t="s">
        <v>29</v>
      </c>
      <c r="AC10" s="122"/>
      <c r="AD10" s="122"/>
      <c r="AF10" s="67" t="s">
        <v>36</v>
      </c>
      <c r="AG10" s="68" t="s">
        <v>37</v>
      </c>
      <c r="AH10" s="68" t="s">
        <v>90</v>
      </c>
      <c r="AI10" s="69"/>
    </row>
    <row r="11" spans="2:35" s="45" customFormat="1" ht="13.5">
      <c r="B11" s="95">
        <v>2012</v>
      </c>
      <c r="C11" s="40">
        <v>35</v>
      </c>
      <c r="D11" s="40">
        <v>33</v>
      </c>
      <c r="E11" s="41">
        <v>2</v>
      </c>
      <c r="F11" s="40"/>
      <c r="G11" s="13">
        <v>836</v>
      </c>
      <c r="H11" s="42">
        <v>494</v>
      </c>
      <c r="I11" s="42"/>
      <c r="J11" s="42"/>
      <c r="K11" s="42"/>
      <c r="L11" s="42"/>
      <c r="M11" s="42">
        <v>580</v>
      </c>
      <c r="N11" s="43">
        <f>SUM(G11:M11)</f>
        <v>1910</v>
      </c>
      <c r="O11" s="44"/>
      <c r="P11" s="17">
        <v>501</v>
      </c>
      <c r="Q11" s="17">
        <v>231</v>
      </c>
      <c r="R11" s="30">
        <v>48.480000000000004</v>
      </c>
      <c r="S11" s="17"/>
      <c r="T11" s="17">
        <v>58</v>
      </c>
      <c r="U11" s="17">
        <v>420</v>
      </c>
      <c r="V11" s="17"/>
      <c r="W11" s="17">
        <v>32</v>
      </c>
      <c r="X11" s="30">
        <v>100</v>
      </c>
      <c r="Y11" s="30"/>
      <c r="Z11" s="15">
        <f>SUM(P11:X11)</f>
        <v>1390.48</v>
      </c>
      <c r="AA11" s="44"/>
      <c r="AB11" s="23">
        <f>N11-Z11</f>
        <v>519.52</v>
      </c>
      <c r="AC11" s="9">
        <f>AD7*0.2%</f>
        <v>2</v>
      </c>
      <c r="AD11" s="23">
        <f>AD7+AC11+AB11</f>
        <v>1521.52</v>
      </c>
      <c r="AF11" s="70"/>
      <c r="AG11" s="71" t="s">
        <v>38</v>
      </c>
      <c r="AH11" s="71" t="s">
        <v>39</v>
      </c>
      <c r="AI11" s="72"/>
    </row>
    <row r="12" spans="2:35" ht="13.5">
      <c r="B12" s="95">
        <f>B11+1</f>
        <v>2013</v>
      </c>
      <c r="C12" s="16">
        <f>C11+1</f>
        <v>36</v>
      </c>
      <c r="D12" s="16">
        <f>D11+1</f>
        <v>34</v>
      </c>
      <c r="E12" s="37">
        <f>E11+1</f>
        <v>3</v>
      </c>
      <c r="F12" s="16">
        <v>0</v>
      </c>
      <c r="G12" s="31">
        <v>1200</v>
      </c>
      <c r="H12" s="32"/>
      <c r="I12" s="32"/>
      <c r="J12" s="32"/>
      <c r="K12" s="32"/>
      <c r="L12" s="32"/>
      <c r="M12" s="32">
        <v>300</v>
      </c>
      <c r="N12" s="33">
        <f aca="true" t="shared" si="0" ref="N12:N65">SUM(G12:M12)</f>
        <v>1500</v>
      </c>
      <c r="P12" s="17">
        <v>506</v>
      </c>
      <c r="Q12" s="17">
        <v>231</v>
      </c>
      <c r="R12" s="30">
        <v>48.480000000000004</v>
      </c>
      <c r="S12" s="17"/>
      <c r="T12" s="17">
        <v>58</v>
      </c>
      <c r="U12" s="17">
        <v>383</v>
      </c>
      <c r="V12" s="17"/>
      <c r="W12" s="17">
        <v>32</v>
      </c>
      <c r="X12" s="30">
        <f>X11+X11*1%</f>
        <v>101</v>
      </c>
      <c r="Y12" s="30"/>
      <c r="Z12" s="15">
        <f aca="true" t="shared" si="1" ref="Z12:Z20">SUM(P12:X12)</f>
        <v>1359.48</v>
      </c>
      <c r="AB12" s="23">
        <f aca="true" t="shared" si="2" ref="AB12:AB65">N12-Z12</f>
        <v>140.51999999999998</v>
      </c>
      <c r="AC12" s="24">
        <f>AD11*0.2%</f>
        <v>3.04304</v>
      </c>
      <c r="AD12" s="23">
        <f aca="true" t="shared" si="3" ref="AD12:AD66">AD11+AC12+AB12</f>
        <v>1665.08304</v>
      </c>
      <c r="AF12" s="70"/>
      <c r="AG12" s="71" t="s">
        <v>40</v>
      </c>
      <c r="AH12" s="73">
        <v>1041800</v>
      </c>
      <c r="AI12" s="72" t="s">
        <v>41</v>
      </c>
    </row>
    <row r="13" spans="2:35" ht="13.5">
      <c r="B13" s="95">
        <f aca="true" t="shared" si="4" ref="B13:F28">B12+1</f>
        <v>2014</v>
      </c>
      <c r="C13" s="16">
        <f t="shared" si="4"/>
        <v>37</v>
      </c>
      <c r="D13" s="16">
        <f t="shared" si="4"/>
        <v>35</v>
      </c>
      <c r="E13" s="37">
        <f t="shared" si="4"/>
        <v>4</v>
      </c>
      <c r="F13" s="16">
        <f>F12+1</f>
        <v>1</v>
      </c>
      <c r="G13" s="31">
        <f>G12*103%</f>
        <v>1236</v>
      </c>
      <c r="H13" s="32"/>
      <c r="I13" s="32"/>
      <c r="J13" s="32"/>
      <c r="K13" s="32"/>
      <c r="L13" s="32"/>
      <c r="M13" s="32">
        <v>300</v>
      </c>
      <c r="N13" s="33">
        <f t="shared" si="0"/>
        <v>1536</v>
      </c>
      <c r="P13" s="17">
        <v>511</v>
      </c>
      <c r="Q13" s="17">
        <v>231</v>
      </c>
      <c r="R13" s="30">
        <v>181.06775000000002</v>
      </c>
      <c r="S13" s="17"/>
      <c r="T13" s="17">
        <v>58</v>
      </c>
      <c r="U13" s="17">
        <v>363</v>
      </c>
      <c r="V13" s="17"/>
      <c r="W13" s="17">
        <v>32</v>
      </c>
      <c r="X13" s="30">
        <f aca="true" t="shared" si="5" ref="X13:X35">X12+X12*1%</f>
        <v>102.01</v>
      </c>
      <c r="Y13" s="30"/>
      <c r="Z13" s="15">
        <f t="shared" si="1"/>
        <v>1478.0777500000002</v>
      </c>
      <c r="AB13" s="23">
        <f t="shared" si="2"/>
        <v>57.92224999999985</v>
      </c>
      <c r="AC13" s="24">
        <f aca="true" t="shared" si="6" ref="AC13:AC65">AD12*0.2%</f>
        <v>3.33016608</v>
      </c>
      <c r="AD13" s="23">
        <f t="shared" si="3"/>
        <v>1726.3354560799999</v>
      </c>
      <c r="AF13" s="70"/>
      <c r="AG13" s="71" t="s">
        <v>42</v>
      </c>
      <c r="AH13" s="73">
        <v>784000</v>
      </c>
      <c r="AI13" s="72" t="s">
        <v>41</v>
      </c>
    </row>
    <row r="14" spans="2:35" ht="13.5">
      <c r="B14" s="95">
        <f t="shared" si="4"/>
        <v>2015</v>
      </c>
      <c r="C14" s="16">
        <f t="shared" si="4"/>
        <v>38</v>
      </c>
      <c r="D14" s="16">
        <f t="shared" si="4"/>
        <v>36</v>
      </c>
      <c r="E14" s="37">
        <f t="shared" si="4"/>
        <v>5</v>
      </c>
      <c r="F14" s="16">
        <f t="shared" si="4"/>
        <v>2</v>
      </c>
      <c r="G14" s="31">
        <f aca="true" t="shared" si="7" ref="G14:G20">G13*103%</f>
        <v>1273.08</v>
      </c>
      <c r="H14" s="32"/>
      <c r="I14" s="32"/>
      <c r="J14" s="32"/>
      <c r="K14" s="32"/>
      <c r="L14" s="32"/>
      <c r="M14" s="32">
        <v>300</v>
      </c>
      <c r="N14" s="33">
        <f t="shared" si="0"/>
        <v>1573.08</v>
      </c>
      <c r="P14" s="17">
        <v>516</v>
      </c>
      <c r="Q14" s="17">
        <v>252</v>
      </c>
      <c r="R14" s="30">
        <v>79.84832750000001</v>
      </c>
      <c r="S14" s="17">
        <v>515</v>
      </c>
      <c r="T14" s="17">
        <v>58</v>
      </c>
      <c r="U14" s="17">
        <v>382</v>
      </c>
      <c r="V14" s="17"/>
      <c r="W14" s="17">
        <v>32</v>
      </c>
      <c r="X14" s="30">
        <f t="shared" si="5"/>
        <v>103.0301</v>
      </c>
      <c r="Y14" s="30"/>
      <c r="Z14" s="15">
        <f t="shared" si="1"/>
        <v>1937.8784274999998</v>
      </c>
      <c r="AB14" s="23">
        <f t="shared" si="2"/>
        <v>-364.7984274999999</v>
      </c>
      <c r="AC14" s="24">
        <f t="shared" si="6"/>
        <v>3.45267091216</v>
      </c>
      <c r="AD14" s="23">
        <f t="shared" si="3"/>
        <v>1364.98969949216</v>
      </c>
      <c r="AF14" s="70"/>
      <c r="AG14" s="71" t="s">
        <v>43</v>
      </c>
      <c r="AH14" s="73">
        <v>0</v>
      </c>
      <c r="AI14" s="72" t="s">
        <v>41</v>
      </c>
    </row>
    <row r="15" spans="2:35" ht="13.5">
      <c r="B15" s="95">
        <f t="shared" si="4"/>
        <v>2016</v>
      </c>
      <c r="C15" s="16">
        <f t="shared" si="4"/>
        <v>39</v>
      </c>
      <c r="D15" s="16">
        <f t="shared" si="4"/>
        <v>37</v>
      </c>
      <c r="E15" s="37">
        <f t="shared" si="4"/>
        <v>6</v>
      </c>
      <c r="F15" s="16">
        <f t="shared" si="4"/>
        <v>3</v>
      </c>
      <c r="G15" s="31">
        <f t="shared" si="7"/>
        <v>1311.2724</v>
      </c>
      <c r="H15" s="32"/>
      <c r="I15" s="32"/>
      <c r="J15" s="32"/>
      <c r="K15" s="32"/>
      <c r="L15" s="32"/>
      <c r="M15" s="32">
        <v>300</v>
      </c>
      <c r="N15" s="33">
        <f t="shared" si="0"/>
        <v>1611.2724</v>
      </c>
      <c r="P15" s="17">
        <v>521</v>
      </c>
      <c r="Q15" s="17">
        <v>259</v>
      </c>
      <c r="R15" s="30">
        <v>80.646810775</v>
      </c>
      <c r="S15" s="17"/>
      <c r="T15" s="17">
        <v>66</v>
      </c>
      <c r="U15" s="17">
        <v>399</v>
      </c>
      <c r="V15" s="17"/>
      <c r="W15" s="17">
        <v>32</v>
      </c>
      <c r="X15" s="30">
        <f t="shared" si="5"/>
        <v>104.060401</v>
      </c>
      <c r="Y15" s="30"/>
      <c r="Z15" s="15">
        <f t="shared" si="1"/>
        <v>1461.707211775</v>
      </c>
      <c r="AB15" s="23">
        <f t="shared" si="2"/>
        <v>149.56518822500016</v>
      </c>
      <c r="AC15" s="24">
        <f t="shared" si="6"/>
        <v>2.7299793989843204</v>
      </c>
      <c r="AD15" s="23">
        <f t="shared" si="3"/>
        <v>1517.2848671161446</v>
      </c>
      <c r="AF15" s="70"/>
      <c r="AG15" s="71"/>
      <c r="AH15" s="73"/>
      <c r="AI15" s="72"/>
    </row>
    <row r="16" spans="2:35" ht="13.5">
      <c r="B16" s="95">
        <f t="shared" si="4"/>
        <v>2017</v>
      </c>
      <c r="C16" s="16">
        <f t="shared" si="4"/>
        <v>40</v>
      </c>
      <c r="D16" s="16">
        <f t="shared" si="4"/>
        <v>38</v>
      </c>
      <c r="E16" s="37">
        <f t="shared" si="4"/>
        <v>7</v>
      </c>
      <c r="F16" s="16">
        <f t="shared" si="4"/>
        <v>4</v>
      </c>
      <c r="G16" s="31">
        <f t="shared" si="7"/>
        <v>1350.610572</v>
      </c>
      <c r="H16" s="32"/>
      <c r="I16" s="32"/>
      <c r="J16" s="32"/>
      <c r="K16" s="32"/>
      <c r="L16" s="32"/>
      <c r="M16" s="32">
        <v>300</v>
      </c>
      <c r="N16" s="33">
        <f t="shared" si="0"/>
        <v>1650.610572</v>
      </c>
      <c r="P16" s="17">
        <v>526</v>
      </c>
      <c r="Q16" s="17">
        <v>259</v>
      </c>
      <c r="R16" s="30">
        <v>383.72376929151005</v>
      </c>
      <c r="S16" s="17"/>
      <c r="T16" s="17">
        <v>66</v>
      </c>
      <c r="U16" s="17">
        <v>424</v>
      </c>
      <c r="V16" s="17"/>
      <c r="W16" s="17">
        <v>32</v>
      </c>
      <c r="X16" s="30">
        <f t="shared" si="5"/>
        <v>105.10100501</v>
      </c>
      <c r="Y16" s="30"/>
      <c r="Z16" s="15">
        <f t="shared" si="1"/>
        <v>1795.82477430151</v>
      </c>
      <c r="AB16" s="23">
        <f t="shared" si="2"/>
        <v>-145.21420230150989</v>
      </c>
      <c r="AC16" s="24">
        <f t="shared" si="6"/>
        <v>3.034569734232289</v>
      </c>
      <c r="AD16" s="23">
        <f t="shared" si="3"/>
        <v>1375.105234548867</v>
      </c>
      <c r="AF16" s="70" t="s">
        <v>44</v>
      </c>
      <c r="AG16" s="71" t="s">
        <v>45</v>
      </c>
      <c r="AH16" s="73" t="s">
        <v>92</v>
      </c>
      <c r="AI16" s="72" t="s">
        <v>41</v>
      </c>
    </row>
    <row r="17" spans="2:35" ht="13.5">
      <c r="B17" s="95">
        <f t="shared" si="4"/>
        <v>2018</v>
      </c>
      <c r="C17" s="16">
        <f t="shared" si="4"/>
        <v>41</v>
      </c>
      <c r="D17" s="16">
        <f t="shared" si="4"/>
        <v>39</v>
      </c>
      <c r="E17" s="37">
        <f t="shared" si="4"/>
        <v>8</v>
      </c>
      <c r="F17" s="16">
        <f t="shared" si="4"/>
        <v>5</v>
      </c>
      <c r="G17" s="31">
        <f t="shared" si="7"/>
        <v>1391.12888916</v>
      </c>
      <c r="H17" s="32"/>
      <c r="I17" s="32"/>
      <c r="J17" s="32"/>
      <c r="K17" s="32"/>
      <c r="L17" s="32"/>
      <c r="M17" s="32">
        <v>300</v>
      </c>
      <c r="N17" s="33">
        <f t="shared" si="0"/>
        <v>1691.12888916</v>
      </c>
      <c r="P17" s="17">
        <v>531</v>
      </c>
      <c r="Q17" s="17">
        <v>259</v>
      </c>
      <c r="R17" s="30">
        <v>243.19426650268912</v>
      </c>
      <c r="S17" s="17"/>
      <c r="T17" s="17">
        <v>66</v>
      </c>
      <c r="U17" s="17">
        <v>441</v>
      </c>
      <c r="V17" s="17"/>
      <c r="W17" s="17">
        <v>32</v>
      </c>
      <c r="X17" s="30">
        <f t="shared" si="5"/>
        <v>106.1520150601</v>
      </c>
      <c r="Y17" s="30"/>
      <c r="Z17" s="15">
        <f t="shared" si="1"/>
        <v>1678.346281562789</v>
      </c>
      <c r="AB17" s="23">
        <f t="shared" si="2"/>
        <v>12.782607597210927</v>
      </c>
      <c r="AC17" s="24">
        <f t="shared" si="6"/>
        <v>2.750210469097734</v>
      </c>
      <c r="AD17" s="23">
        <f t="shared" si="3"/>
        <v>1390.6380526151756</v>
      </c>
      <c r="AF17" s="70"/>
      <c r="AG17" s="71" t="s">
        <v>91</v>
      </c>
      <c r="AH17" s="91">
        <v>597200</v>
      </c>
      <c r="AI17" s="72" t="s">
        <v>41</v>
      </c>
    </row>
    <row r="18" spans="2:35" ht="13.5">
      <c r="B18" s="95">
        <f t="shared" si="4"/>
        <v>2019</v>
      </c>
      <c r="C18" s="16">
        <f t="shared" si="4"/>
        <v>42</v>
      </c>
      <c r="D18" s="16">
        <f t="shared" si="4"/>
        <v>40</v>
      </c>
      <c r="E18" s="37">
        <f t="shared" si="4"/>
        <v>9</v>
      </c>
      <c r="F18" s="16">
        <f t="shared" si="4"/>
        <v>6</v>
      </c>
      <c r="G18" s="31">
        <f t="shared" si="7"/>
        <v>1432.8627558348</v>
      </c>
      <c r="H18" s="32"/>
      <c r="I18" s="32"/>
      <c r="J18" s="32"/>
      <c r="K18" s="32"/>
      <c r="L18" s="32"/>
      <c r="M18" s="32">
        <v>300</v>
      </c>
      <c r="N18" s="33">
        <f t="shared" si="0"/>
        <v>1732.8627558348</v>
      </c>
      <c r="P18" s="17">
        <v>537</v>
      </c>
      <c r="Q18" s="17">
        <v>259</v>
      </c>
      <c r="R18" s="30">
        <v>245.626209167716</v>
      </c>
      <c r="S18" s="17"/>
      <c r="T18" s="17">
        <v>66</v>
      </c>
      <c r="U18" s="17">
        <v>461</v>
      </c>
      <c r="V18" s="17"/>
      <c r="W18" s="17">
        <v>15</v>
      </c>
      <c r="X18" s="30">
        <f t="shared" si="5"/>
        <v>107.213535210701</v>
      </c>
      <c r="Y18" s="30"/>
      <c r="Z18" s="15">
        <f t="shared" si="1"/>
        <v>1690.839744378417</v>
      </c>
      <c r="AB18" s="23">
        <f t="shared" si="2"/>
        <v>42.023011456383074</v>
      </c>
      <c r="AC18" s="24">
        <f t="shared" si="6"/>
        <v>2.781276105230351</v>
      </c>
      <c r="AD18" s="23">
        <f t="shared" si="3"/>
        <v>1435.442340176789</v>
      </c>
      <c r="AF18" s="70" t="s">
        <v>46</v>
      </c>
      <c r="AG18" s="71"/>
      <c r="AH18" s="73">
        <v>10000000</v>
      </c>
      <c r="AI18" s="72" t="s">
        <v>41</v>
      </c>
    </row>
    <row r="19" spans="2:35" ht="13.5">
      <c r="B19" s="95">
        <f t="shared" si="4"/>
        <v>2020</v>
      </c>
      <c r="C19" s="16">
        <f t="shared" si="4"/>
        <v>43</v>
      </c>
      <c r="D19" s="16">
        <f t="shared" si="4"/>
        <v>41</v>
      </c>
      <c r="E19" s="37">
        <f t="shared" si="4"/>
        <v>10</v>
      </c>
      <c r="F19" s="16">
        <f t="shared" si="4"/>
        <v>7</v>
      </c>
      <c r="G19" s="31">
        <f t="shared" si="7"/>
        <v>1475.848638509844</v>
      </c>
      <c r="H19" s="32"/>
      <c r="I19" s="32"/>
      <c r="J19" s="32"/>
      <c r="K19" s="32"/>
      <c r="L19" s="32"/>
      <c r="M19" s="32">
        <v>300</v>
      </c>
      <c r="N19" s="33">
        <f t="shared" si="0"/>
        <v>1775.848638509844</v>
      </c>
      <c r="P19" s="17">
        <v>542</v>
      </c>
      <c r="Q19" s="17">
        <v>259</v>
      </c>
      <c r="R19" s="30">
        <v>367.30499454904475</v>
      </c>
      <c r="S19" s="17"/>
      <c r="T19" s="17">
        <v>66</v>
      </c>
      <c r="U19" s="17">
        <v>517</v>
      </c>
      <c r="V19" s="17"/>
      <c r="W19" s="17">
        <v>15</v>
      </c>
      <c r="X19" s="30">
        <f t="shared" si="5"/>
        <v>108.28567056280801</v>
      </c>
      <c r="Y19" s="30"/>
      <c r="Z19" s="15">
        <f t="shared" si="1"/>
        <v>1874.5906651118528</v>
      </c>
      <c r="AB19" s="23">
        <f t="shared" si="2"/>
        <v>-98.74202660200876</v>
      </c>
      <c r="AC19" s="24">
        <f t="shared" si="6"/>
        <v>2.870884680353578</v>
      </c>
      <c r="AD19" s="23">
        <f t="shared" si="3"/>
        <v>1339.5711982551338</v>
      </c>
      <c r="AF19" s="70"/>
      <c r="AG19" s="71"/>
      <c r="AH19" s="73"/>
      <c r="AI19" s="72"/>
    </row>
    <row r="20" spans="2:35" ht="13.5">
      <c r="B20" s="95">
        <f t="shared" si="4"/>
        <v>2021</v>
      </c>
      <c r="C20" s="16">
        <f t="shared" si="4"/>
        <v>44</v>
      </c>
      <c r="D20" s="16">
        <f t="shared" si="4"/>
        <v>42</v>
      </c>
      <c r="E20" s="37">
        <f t="shared" si="4"/>
        <v>11</v>
      </c>
      <c r="F20" s="16">
        <f t="shared" si="4"/>
        <v>8</v>
      </c>
      <c r="G20" s="31">
        <f t="shared" si="7"/>
        <v>1520.1240976651393</v>
      </c>
      <c r="H20" s="32"/>
      <c r="I20" s="32"/>
      <c r="J20" s="32"/>
      <c r="K20" s="32"/>
      <c r="L20" s="32"/>
      <c r="M20" s="32">
        <v>300</v>
      </c>
      <c r="N20" s="33">
        <f t="shared" si="0"/>
        <v>1820.1240976651393</v>
      </c>
      <c r="P20" s="17">
        <v>548</v>
      </c>
      <c r="Q20" s="17">
        <v>259</v>
      </c>
      <c r="R20" s="30">
        <v>331.6053746778983</v>
      </c>
      <c r="S20" s="17"/>
      <c r="T20" s="17">
        <v>66</v>
      </c>
      <c r="U20" s="17">
        <v>535</v>
      </c>
      <c r="V20" s="17"/>
      <c r="W20" s="17">
        <v>15</v>
      </c>
      <c r="X20" s="30">
        <f t="shared" si="5"/>
        <v>109.36852726843608</v>
      </c>
      <c r="Y20" s="30"/>
      <c r="Z20" s="15">
        <f t="shared" si="1"/>
        <v>1863.9739019463343</v>
      </c>
      <c r="AB20" s="23">
        <f t="shared" si="2"/>
        <v>-43.84980428119502</v>
      </c>
      <c r="AC20" s="24">
        <f t="shared" si="6"/>
        <v>2.679142396510268</v>
      </c>
      <c r="AD20" s="23">
        <f t="shared" si="3"/>
        <v>1298.4005363704491</v>
      </c>
      <c r="AF20" s="70" t="s">
        <v>47</v>
      </c>
      <c r="AG20" s="71" t="s">
        <v>48</v>
      </c>
      <c r="AH20" s="73">
        <v>3000000</v>
      </c>
      <c r="AI20" s="72" t="s">
        <v>41</v>
      </c>
    </row>
    <row r="21" spans="2:35" ht="13.5">
      <c r="B21" s="90">
        <f t="shared" si="4"/>
        <v>2022</v>
      </c>
      <c r="C21" s="16">
        <f t="shared" si="4"/>
        <v>45</v>
      </c>
      <c r="D21" s="16">
        <f t="shared" si="4"/>
        <v>43</v>
      </c>
      <c r="E21" s="37">
        <f t="shared" si="4"/>
        <v>12</v>
      </c>
      <c r="F21" s="16">
        <f t="shared" si="4"/>
        <v>9</v>
      </c>
      <c r="G21" s="85">
        <v>687</v>
      </c>
      <c r="H21" s="86"/>
      <c r="I21" s="86"/>
      <c r="J21" s="86"/>
      <c r="K21" s="86"/>
      <c r="L21" s="85"/>
      <c r="M21" s="87">
        <v>4780</v>
      </c>
      <c r="N21" s="33">
        <f t="shared" si="0"/>
        <v>5467</v>
      </c>
      <c r="P21" s="17">
        <v>553</v>
      </c>
      <c r="Q21" s="17">
        <v>259</v>
      </c>
      <c r="R21" s="30">
        <v>334.9214284246773</v>
      </c>
      <c r="S21" s="17">
        <v>552</v>
      </c>
      <c r="T21" s="17">
        <v>66</v>
      </c>
      <c r="U21" s="92">
        <v>237</v>
      </c>
      <c r="V21" s="17" t="s">
        <v>89</v>
      </c>
      <c r="W21" s="17"/>
      <c r="X21" s="30">
        <f t="shared" si="5"/>
        <v>110.46221254112044</v>
      </c>
      <c r="Y21" s="93">
        <v>4234</v>
      </c>
      <c r="Z21" s="15">
        <f>SUM(P21:Y21)</f>
        <v>6346.383640965798</v>
      </c>
      <c r="AB21" s="23">
        <f t="shared" si="2"/>
        <v>-879.3836409657979</v>
      </c>
      <c r="AC21" s="24">
        <f t="shared" si="6"/>
        <v>2.5968010727408983</v>
      </c>
      <c r="AD21" s="23">
        <f t="shared" si="3"/>
        <v>421.61369647739207</v>
      </c>
      <c r="AF21" s="70"/>
      <c r="AG21" s="71"/>
      <c r="AH21" s="73"/>
      <c r="AI21" s="72" t="s">
        <v>41</v>
      </c>
    </row>
    <row r="22" spans="2:35" ht="13.5">
      <c r="B22" s="95">
        <f t="shared" si="4"/>
        <v>2023</v>
      </c>
      <c r="C22" s="16">
        <f t="shared" si="4"/>
        <v>46</v>
      </c>
      <c r="D22" s="16">
        <f t="shared" si="4"/>
        <v>44</v>
      </c>
      <c r="E22" s="37">
        <f t="shared" si="4"/>
        <v>13</v>
      </c>
      <c r="F22" s="16">
        <f t="shared" si="4"/>
        <v>10</v>
      </c>
      <c r="G22" s="85">
        <v>1334.278715</v>
      </c>
      <c r="H22" s="86">
        <v>480</v>
      </c>
      <c r="I22" s="86"/>
      <c r="J22" s="86"/>
      <c r="K22" s="86"/>
      <c r="L22" s="85"/>
      <c r="M22" s="86"/>
      <c r="N22" s="33">
        <f t="shared" si="0"/>
        <v>1814.278715</v>
      </c>
      <c r="P22" s="17">
        <v>559</v>
      </c>
      <c r="Q22" s="17">
        <v>259</v>
      </c>
      <c r="R22" s="30">
        <v>343.9605512769171</v>
      </c>
      <c r="S22" s="17"/>
      <c r="T22" s="17">
        <v>66</v>
      </c>
      <c r="U22" s="92">
        <v>369</v>
      </c>
      <c r="V22" s="17"/>
      <c r="W22" s="17"/>
      <c r="X22" s="30">
        <f t="shared" si="5"/>
        <v>111.56683466653165</v>
      </c>
      <c r="Y22" s="30">
        <v>234</v>
      </c>
      <c r="Z22" s="15">
        <f aca="true" t="shared" si="8" ref="Z22:Z66">SUM(P22:Y22)</f>
        <v>1942.5273859434487</v>
      </c>
      <c r="AB22" s="23">
        <f t="shared" si="2"/>
        <v>-128.24867094344881</v>
      </c>
      <c r="AC22" s="63">
        <f t="shared" si="6"/>
        <v>0.8432273929547841</v>
      </c>
      <c r="AD22" s="23">
        <f t="shared" si="3"/>
        <v>294.208252926898</v>
      </c>
      <c r="AF22" s="74"/>
      <c r="AG22" s="75" t="s">
        <v>49</v>
      </c>
      <c r="AH22" s="76"/>
      <c r="AI22" s="77"/>
    </row>
    <row r="23" spans="2:35" ht="13.5">
      <c r="B23" s="95">
        <f t="shared" si="4"/>
        <v>2024</v>
      </c>
      <c r="C23" s="16">
        <f t="shared" si="4"/>
        <v>47</v>
      </c>
      <c r="D23" s="16">
        <f t="shared" si="4"/>
        <v>45</v>
      </c>
      <c r="E23" s="37">
        <f t="shared" si="4"/>
        <v>14</v>
      </c>
      <c r="F23" s="16">
        <f t="shared" si="4"/>
        <v>11</v>
      </c>
      <c r="G23" s="85">
        <v>1892.60642215</v>
      </c>
      <c r="H23" s="86">
        <v>480</v>
      </c>
      <c r="I23" s="86"/>
      <c r="J23" s="86"/>
      <c r="K23" s="86"/>
      <c r="L23" s="85"/>
      <c r="M23" s="86"/>
      <c r="N23" s="33">
        <f t="shared" si="0"/>
        <v>2372.60642215</v>
      </c>
      <c r="P23" s="17">
        <v>564</v>
      </c>
      <c r="Q23" s="17">
        <v>259</v>
      </c>
      <c r="R23" s="30">
        <v>305.4822656687771</v>
      </c>
      <c r="S23" s="17"/>
      <c r="T23" s="17">
        <v>66</v>
      </c>
      <c r="U23" s="92">
        <v>663</v>
      </c>
      <c r="V23" s="17"/>
      <c r="W23" s="17"/>
      <c r="X23" s="30">
        <f t="shared" si="5"/>
        <v>112.68250301319696</v>
      </c>
      <c r="Y23" s="30">
        <v>234</v>
      </c>
      <c r="Z23" s="15">
        <f t="shared" si="8"/>
        <v>2204.1647686819742</v>
      </c>
      <c r="AB23" s="23">
        <f t="shared" si="2"/>
        <v>168.44165346802583</v>
      </c>
      <c r="AC23" s="62">
        <f t="shared" si="6"/>
        <v>0.588416505853796</v>
      </c>
      <c r="AD23" s="23">
        <f t="shared" si="3"/>
        <v>463.23832290077763</v>
      </c>
      <c r="AF23" s="78"/>
      <c r="AG23" s="78"/>
      <c r="AH23" s="79"/>
      <c r="AI23" s="78"/>
    </row>
    <row r="24" spans="2:35" ht="13.5">
      <c r="B24" s="95">
        <f t="shared" si="4"/>
        <v>2025</v>
      </c>
      <c r="C24" s="16">
        <f t="shared" si="4"/>
        <v>48</v>
      </c>
      <c r="D24" s="16">
        <f t="shared" si="4"/>
        <v>46</v>
      </c>
      <c r="E24" s="37">
        <f t="shared" si="4"/>
        <v>15</v>
      </c>
      <c r="F24" s="16">
        <f t="shared" si="4"/>
        <v>12</v>
      </c>
      <c r="G24" s="85">
        <v>1877.5591463715002</v>
      </c>
      <c r="H24" s="86">
        <v>480</v>
      </c>
      <c r="I24" s="86"/>
      <c r="J24" s="86"/>
      <c r="K24" s="86"/>
      <c r="L24" s="85"/>
      <c r="M24" s="86"/>
      <c r="N24" s="33">
        <f t="shared" si="0"/>
        <v>2357.5591463715</v>
      </c>
      <c r="P24" s="17">
        <v>570</v>
      </c>
      <c r="Q24" s="17">
        <v>259</v>
      </c>
      <c r="R24" s="30">
        <v>308.5370883254648</v>
      </c>
      <c r="S24" s="17"/>
      <c r="T24" s="17">
        <v>66</v>
      </c>
      <c r="U24" s="92">
        <v>715</v>
      </c>
      <c r="V24" s="17"/>
      <c r="W24" s="17"/>
      <c r="X24" s="30">
        <f t="shared" si="5"/>
        <v>113.80932804332893</v>
      </c>
      <c r="Y24" s="30">
        <v>234</v>
      </c>
      <c r="Z24" s="15">
        <f t="shared" si="8"/>
        <v>2266.3464163687936</v>
      </c>
      <c r="AB24" s="23">
        <f t="shared" si="2"/>
        <v>91.2127300027064</v>
      </c>
      <c r="AC24" s="62">
        <f t="shared" si="6"/>
        <v>0.9264766458015553</v>
      </c>
      <c r="AD24" s="23">
        <f t="shared" si="3"/>
        <v>555.3775295492856</v>
      </c>
      <c r="AF24" s="67" t="s">
        <v>50</v>
      </c>
      <c r="AG24" s="68" t="s">
        <v>51</v>
      </c>
      <c r="AH24" s="68" t="s">
        <v>52</v>
      </c>
      <c r="AI24" s="69"/>
    </row>
    <row r="25" spans="2:35" ht="13.5">
      <c r="B25" s="95">
        <f t="shared" si="4"/>
        <v>2026</v>
      </c>
      <c r="C25" s="16">
        <f t="shared" si="4"/>
        <v>49</v>
      </c>
      <c r="D25" s="16">
        <f t="shared" si="4"/>
        <v>47</v>
      </c>
      <c r="E25" s="37">
        <f t="shared" si="4"/>
        <v>16</v>
      </c>
      <c r="F25" s="16">
        <f t="shared" si="4"/>
        <v>13</v>
      </c>
      <c r="G25" s="85">
        <v>1896.334737835215</v>
      </c>
      <c r="H25" s="86">
        <v>480</v>
      </c>
      <c r="I25" s="86"/>
      <c r="J25" s="86"/>
      <c r="K25" s="86"/>
      <c r="L25" s="85"/>
      <c r="M25" s="86"/>
      <c r="N25" s="33">
        <f t="shared" si="0"/>
        <v>2376.334737835215</v>
      </c>
      <c r="P25" s="17">
        <v>575</v>
      </c>
      <c r="Q25" s="17">
        <v>259</v>
      </c>
      <c r="R25" s="30">
        <v>350.4746876161511</v>
      </c>
      <c r="S25" s="17"/>
      <c r="T25" s="17">
        <v>94</v>
      </c>
      <c r="U25" s="92">
        <v>720</v>
      </c>
      <c r="V25" s="17"/>
      <c r="W25" s="17"/>
      <c r="X25" s="30">
        <f t="shared" si="5"/>
        <v>114.94742132376223</v>
      </c>
      <c r="Y25" s="30">
        <v>234</v>
      </c>
      <c r="Z25" s="15">
        <f t="shared" si="8"/>
        <v>2347.4221089399134</v>
      </c>
      <c r="AB25" s="23">
        <f t="shared" si="2"/>
        <v>28.912628895301623</v>
      </c>
      <c r="AC25" s="62">
        <f t="shared" si="6"/>
        <v>1.110755059098571</v>
      </c>
      <c r="AD25" s="23">
        <f t="shared" si="3"/>
        <v>585.4009135036857</v>
      </c>
      <c r="AF25" s="70"/>
      <c r="AG25" s="71" t="s">
        <v>53</v>
      </c>
      <c r="AH25" s="71" t="s">
        <v>54</v>
      </c>
      <c r="AI25" s="72"/>
    </row>
    <row r="26" spans="2:35" ht="13.5">
      <c r="B26" s="95">
        <f t="shared" si="4"/>
        <v>2027</v>
      </c>
      <c r="C26" s="16">
        <f t="shared" si="4"/>
        <v>50</v>
      </c>
      <c r="D26" s="16">
        <f t="shared" si="4"/>
        <v>48</v>
      </c>
      <c r="E26" s="37">
        <f t="shared" si="4"/>
        <v>17</v>
      </c>
      <c r="F26" s="16">
        <f t="shared" si="4"/>
        <v>14</v>
      </c>
      <c r="G26" s="85">
        <v>1915.2980852135672</v>
      </c>
      <c r="H26" s="86">
        <v>480</v>
      </c>
      <c r="I26" s="86"/>
      <c r="J26" s="86"/>
      <c r="K26" s="86"/>
      <c r="L26" s="85"/>
      <c r="M26" s="86"/>
      <c r="N26" s="33">
        <f t="shared" si="0"/>
        <v>2395.298085213567</v>
      </c>
      <c r="P26" s="17">
        <v>581</v>
      </c>
      <c r="Q26" s="17">
        <v>259</v>
      </c>
      <c r="R26" s="30">
        <v>267.83553800385874</v>
      </c>
      <c r="S26" s="17"/>
      <c r="T26" s="17">
        <v>94</v>
      </c>
      <c r="U26" s="92">
        <v>730</v>
      </c>
      <c r="V26" s="17"/>
      <c r="W26" s="17"/>
      <c r="X26" s="30">
        <f t="shared" si="5"/>
        <v>116.09689553699985</v>
      </c>
      <c r="Y26" s="30">
        <v>234</v>
      </c>
      <c r="Z26" s="15">
        <f t="shared" si="8"/>
        <v>2281.9324335408587</v>
      </c>
      <c r="AB26" s="23">
        <f t="shared" si="2"/>
        <v>113.36565167270828</v>
      </c>
      <c r="AC26" s="62">
        <f t="shared" si="6"/>
        <v>1.1708018270073715</v>
      </c>
      <c r="AD26" s="23">
        <f t="shared" si="3"/>
        <v>699.9373670034014</v>
      </c>
      <c r="AF26" s="70"/>
      <c r="AG26" s="71" t="s">
        <v>40</v>
      </c>
      <c r="AH26" s="73">
        <v>184300</v>
      </c>
      <c r="AI26" s="72" t="s">
        <v>41</v>
      </c>
    </row>
    <row r="27" spans="2:35" ht="13.5">
      <c r="B27" s="95">
        <f t="shared" si="4"/>
        <v>2028</v>
      </c>
      <c r="C27" s="16">
        <f t="shared" si="4"/>
        <v>51</v>
      </c>
      <c r="D27" s="16">
        <f t="shared" si="4"/>
        <v>49</v>
      </c>
      <c r="E27" s="37">
        <f t="shared" si="4"/>
        <v>18</v>
      </c>
      <c r="F27" s="16">
        <f t="shared" si="4"/>
        <v>15</v>
      </c>
      <c r="G27" s="85">
        <v>1934.451066065703</v>
      </c>
      <c r="H27" s="86">
        <v>480</v>
      </c>
      <c r="I27" s="86"/>
      <c r="J27" s="86"/>
      <c r="K27" s="86"/>
      <c r="L27" s="85"/>
      <c r="M27" s="86"/>
      <c r="N27" s="33">
        <f t="shared" si="0"/>
        <v>2414.451066065703</v>
      </c>
      <c r="P27" s="17">
        <v>587</v>
      </c>
      <c r="Q27" s="17">
        <v>259</v>
      </c>
      <c r="R27" s="30">
        <v>270.5138933838973</v>
      </c>
      <c r="S27" s="17"/>
      <c r="T27" s="17">
        <v>94</v>
      </c>
      <c r="U27" s="92">
        <v>741</v>
      </c>
      <c r="V27" s="17"/>
      <c r="W27" s="17"/>
      <c r="X27" s="30">
        <f t="shared" si="5"/>
        <v>117.25786449236985</v>
      </c>
      <c r="Y27" s="30">
        <v>234</v>
      </c>
      <c r="Z27" s="15">
        <f t="shared" si="8"/>
        <v>2302.771757876267</v>
      </c>
      <c r="AB27" s="23">
        <f t="shared" si="2"/>
        <v>111.67930818943569</v>
      </c>
      <c r="AC27" s="62">
        <f t="shared" si="6"/>
        <v>1.3998747340068027</v>
      </c>
      <c r="AD27" s="23">
        <f t="shared" si="3"/>
        <v>813.0165499268439</v>
      </c>
      <c r="AF27" s="70"/>
      <c r="AG27" s="71" t="s">
        <v>42</v>
      </c>
      <c r="AH27" s="73">
        <v>784200</v>
      </c>
      <c r="AI27" s="72" t="s">
        <v>41</v>
      </c>
    </row>
    <row r="28" spans="2:35" ht="13.5">
      <c r="B28" s="95">
        <f t="shared" si="4"/>
        <v>2029</v>
      </c>
      <c r="C28" s="16">
        <f t="shared" si="4"/>
        <v>52</v>
      </c>
      <c r="D28" s="16">
        <f t="shared" si="4"/>
        <v>50</v>
      </c>
      <c r="E28" s="37">
        <f t="shared" si="4"/>
        <v>19</v>
      </c>
      <c r="F28" s="16">
        <f t="shared" si="4"/>
        <v>16</v>
      </c>
      <c r="G28" s="85">
        <v>1953.79557672636</v>
      </c>
      <c r="H28" s="86">
        <v>480</v>
      </c>
      <c r="I28" s="86"/>
      <c r="J28" s="86"/>
      <c r="K28" s="86"/>
      <c r="L28" s="85"/>
      <c r="M28" s="86"/>
      <c r="N28" s="33">
        <f t="shared" si="0"/>
        <v>2433.79557672636</v>
      </c>
      <c r="P28" s="17">
        <v>593</v>
      </c>
      <c r="Q28" s="17">
        <v>259</v>
      </c>
      <c r="R28" s="30">
        <v>473.72177254917426</v>
      </c>
      <c r="S28" s="17">
        <v>592</v>
      </c>
      <c r="T28" s="17">
        <v>94</v>
      </c>
      <c r="U28" s="92">
        <v>752</v>
      </c>
      <c r="V28" s="17"/>
      <c r="W28" s="17"/>
      <c r="X28" s="30">
        <f t="shared" si="5"/>
        <v>118.43044313729355</v>
      </c>
      <c r="Y28" s="30">
        <v>234</v>
      </c>
      <c r="Z28" s="15">
        <f t="shared" si="8"/>
        <v>3116.1522156864676</v>
      </c>
      <c r="AB28" s="23">
        <f t="shared" si="2"/>
        <v>-682.3566389601074</v>
      </c>
      <c r="AC28" s="62">
        <f t="shared" si="6"/>
        <v>1.6260330998536878</v>
      </c>
      <c r="AD28" s="23">
        <f t="shared" si="3"/>
        <v>132.28594406659022</v>
      </c>
      <c r="AF28" s="70"/>
      <c r="AG28" s="71"/>
      <c r="AH28" s="73"/>
      <c r="AI28" s="72"/>
    </row>
    <row r="29" spans="2:35" ht="13.5">
      <c r="B29" s="95">
        <f aca="true" t="shared" si="9" ref="B29:F44">B28+1</f>
        <v>2030</v>
      </c>
      <c r="C29" s="16">
        <f t="shared" si="9"/>
        <v>53</v>
      </c>
      <c r="D29" s="16">
        <f t="shared" si="9"/>
        <v>51</v>
      </c>
      <c r="E29" s="37">
        <f t="shared" si="9"/>
        <v>20</v>
      </c>
      <c r="F29" s="16">
        <f t="shared" si="9"/>
        <v>17</v>
      </c>
      <c r="G29" s="85">
        <v>1973.3335324936234</v>
      </c>
      <c r="H29" s="86">
        <v>480</v>
      </c>
      <c r="I29" s="86"/>
      <c r="J29" s="86"/>
      <c r="K29" s="86"/>
      <c r="L29" s="85"/>
      <c r="M29" s="86"/>
      <c r="N29" s="33">
        <f t="shared" si="0"/>
        <v>2453.3335324936234</v>
      </c>
      <c r="P29" s="17">
        <v>599</v>
      </c>
      <c r="Q29" s="17">
        <v>259</v>
      </c>
      <c r="R29" s="30">
        <v>352.60035288291516</v>
      </c>
      <c r="S29" s="17"/>
      <c r="T29" s="17">
        <v>94</v>
      </c>
      <c r="U29" s="92">
        <v>790</v>
      </c>
      <c r="V29" s="17"/>
      <c r="W29" s="17"/>
      <c r="X29" s="30">
        <f t="shared" si="5"/>
        <v>119.61474756866649</v>
      </c>
      <c r="Y29" s="30">
        <v>234</v>
      </c>
      <c r="Z29" s="15">
        <f t="shared" si="8"/>
        <v>2448.2151004515817</v>
      </c>
      <c r="AB29" s="23">
        <f t="shared" si="2"/>
        <v>5.118432042041604</v>
      </c>
      <c r="AC29" s="62">
        <f t="shared" si="6"/>
        <v>0.26457188813318044</v>
      </c>
      <c r="AD29" s="23">
        <f t="shared" si="3"/>
        <v>137.668947996765</v>
      </c>
      <c r="AF29" s="70"/>
      <c r="AG29" s="71"/>
      <c r="AH29" s="73"/>
      <c r="AI29" s="72"/>
    </row>
    <row r="30" spans="2:35" ht="13.5">
      <c r="B30" s="95">
        <f t="shared" si="9"/>
        <v>2031</v>
      </c>
      <c r="C30" s="16">
        <f t="shared" si="9"/>
        <v>54</v>
      </c>
      <c r="D30" s="16">
        <f t="shared" si="9"/>
        <v>52</v>
      </c>
      <c r="E30" s="37">
        <f t="shared" si="9"/>
        <v>21</v>
      </c>
      <c r="F30" s="16">
        <f t="shared" si="9"/>
        <v>18</v>
      </c>
      <c r="G30" s="85">
        <v>1993.0668678185598</v>
      </c>
      <c r="H30" s="86">
        <v>480</v>
      </c>
      <c r="I30" s="86"/>
      <c r="J30" s="86"/>
      <c r="K30" s="86"/>
      <c r="L30" s="85"/>
      <c r="M30" s="86"/>
      <c r="N30" s="33">
        <f t="shared" si="0"/>
        <v>2473.06686781856</v>
      </c>
      <c r="P30" s="17">
        <v>605</v>
      </c>
      <c r="Q30" s="17">
        <v>259</v>
      </c>
      <c r="R30" s="30">
        <v>356.1263564117443</v>
      </c>
      <c r="S30" s="17"/>
      <c r="T30" s="17">
        <v>94</v>
      </c>
      <c r="U30" s="92">
        <v>801</v>
      </c>
      <c r="V30" s="17"/>
      <c r="W30" s="17"/>
      <c r="X30" s="30">
        <f t="shared" si="5"/>
        <v>120.81089504435315</v>
      </c>
      <c r="Y30" s="30">
        <v>234</v>
      </c>
      <c r="Z30" s="15">
        <f t="shared" si="8"/>
        <v>2469.9372514560973</v>
      </c>
      <c r="AB30" s="23">
        <f t="shared" si="2"/>
        <v>3.129616362462457</v>
      </c>
      <c r="AC30" s="62">
        <f t="shared" si="6"/>
        <v>0.27533789599353004</v>
      </c>
      <c r="AD30" s="23">
        <f t="shared" si="3"/>
        <v>141.073902255221</v>
      </c>
      <c r="AF30" s="70" t="s">
        <v>55</v>
      </c>
      <c r="AG30" s="71" t="s">
        <v>56</v>
      </c>
      <c r="AH30" s="73">
        <v>4800000</v>
      </c>
      <c r="AI30" s="72" t="s">
        <v>41</v>
      </c>
    </row>
    <row r="31" spans="2:35" ht="13.5">
      <c r="B31" s="95">
        <f t="shared" si="9"/>
        <v>2032</v>
      </c>
      <c r="C31" s="16">
        <f t="shared" si="9"/>
        <v>55</v>
      </c>
      <c r="D31" s="16">
        <f t="shared" si="9"/>
        <v>53</v>
      </c>
      <c r="E31" s="37">
        <f t="shared" si="9"/>
        <v>22</v>
      </c>
      <c r="F31" s="16">
        <f t="shared" si="9"/>
        <v>19</v>
      </c>
      <c r="G31" s="85">
        <v>2012.9975364967454</v>
      </c>
      <c r="H31" s="86">
        <v>480</v>
      </c>
      <c r="I31" s="86"/>
      <c r="J31" s="86"/>
      <c r="K31" s="86"/>
      <c r="L31" s="85"/>
      <c r="M31" s="86"/>
      <c r="N31" s="33">
        <f t="shared" si="0"/>
        <v>2492.9975364967454</v>
      </c>
      <c r="P31" s="17">
        <v>611</v>
      </c>
      <c r="Q31" s="17">
        <v>259</v>
      </c>
      <c r="R31" s="30">
        <v>531.2463395925457</v>
      </c>
      <c r="S31" s="17"/>
      <c r="T31" s="17">
        <v>94</v>
      </c>
      <c r="U31" s="92">
        <v>811</v>
      </c>
      <c r="V31" s="17"/>
      <c r="W31" s="17"/>
      <c r="X31" s="30">
        <f t="shared" si="5"/>
        <v>122.01900399479668</v>
      </c>
      <c r="Y31" s="30">
        <v>234</v>
      </c>
      <c r="Z31" s="15">
        <f t="shared" si="8"/>
        <v>2662.265343587342</v>
      </c>
      <c r="AB31" s="23">
        <f t="shared" si="2"/>
        <v>-169.26780709059676</v>
      </c>
      <c r="AC31" s="62">
        <f t="shared" si="6"/>
        <v>0.28214780451044197</v>
      </c>
      <c r="AD31" s="23">
        <f t="shared" si="3"/>
        <v>-27.911757030865346</v>
      </c>
      <c r="AF31" s="70"/>
      <c r="AG31" s="71"/>
      <c r="AH31" s="73"/>
      <c r="AI31" s="72"/>
    </row>
    <row r="32" spans="2:35" ht="13.5">
      <c r="B32" s="95">
        <f t="shared" si="9"/>
        <v>2033</v>
      </c>
      <c r="C32" s="16">
        <f t="shared" si="9"/>
        <v>56</v>
      </c>
      <c r="D32" s="16">
        <f t="shared" si="9"/>
        <v>54</v>
      </c>
      <c r="E32" s="37">
        <f t="shared" si="9"/>
        <v>23</v>
      </c>
      <c r="F32" s="16">
        <f t="shared" si="9"/>
        <v>20</v>
      </c>
      <c r="G32" s="85">
        <v>2033.127511861713</v>
      </c>
      <c r="H32" s="86">
        <v>480</v>
      </c>
      <c r="I32" s="86"/>
      <c r="J32" s="86"/>
      <c r="K32" s="86"/>
      <c r="L32" s="86"/>
      <c r="M32" s="86"/>
      <c r="N32" s="33">
        <f t="shared" si="0"/>
        <v>2513.127511861713</v>
      </c>
      <c r="P32" s="17">
        <v>617</v>
      </c>
      <c r="Q32" s="17">
        <v>259</v>
      </c>
      <c r="R32" s="30">
        <v>452.48502481796857</v>
      </c>
      <c r="S32" s="17"/>
      <c r="T32" s="17">
        <v>94</v>
      </c>
      <c r="U32" s="92">
        <v>821</v>
      </c>
      <c r="V32" s="17"/>
      <c r="W32" s="17"/>
      <c r="X32" s="30">
        <f t="shared" si="5"/>
        <v>123.23919403474464</v>
      </c>
      <c r="Y32" s="30">
        <v>234</v>
      </c>
      <c r="Z32" s="15">
        <f t="shared" si="8"/>
        <v>2600.7242188527134</v>
      </c>
      <c r="AB32" s="23">
        <f t="shared" si="2"/>
        <v>-87.59670699100025</v>
      </c>
      <c r="AC32" s="62">
        <f t="shared" si="6"/>
        <v>-0.055823514061730695</v>
      </c>
      <c r="AD32" s="23">
        <f t="shared" si="3"/>
        <v>-115.56428753592732</v>
      </c>
      <c r="AF32" s="70"/>
      <c r="AG32" s="71"/>
      <c r="AH32" s="73"/>
      <c r="AI32" s="72"/>
    </row>
    <row r="33" spans="2:35" ht="13.5">
      <c r="B33" s="95">
        <f t="shared" si="9"/>
        <v>2034</v>
      </c>
      <c r="C33" s="16">
        <f t="shared" si="9"/>
        <v>57</v>
      </c>
      <c r="D33" s="16">
        <f t="shared" si="9"/>
        <v>55</v>
      </c>
      <c r="E33" s="37">
        <f t="shared" si="9"/>
        <v>24</v>
      </c>
      <c r="F33" s="16">
        <f t="shared" si="9"/>
        <v>21</v>
      </c>
      <c r="G33" s="85">
        <v>2053.45878698033</v>
      </c>
      <c r="H33" s="86">
        <v>480</v>
      </c>
      <c r="I33" s="86"/>
      <c r="J33" s="86"/>
      <c r="K33" s="86"/>
      <c r="L33" s="86"/>
      <c r="M33" s="86"/>
      <c r="N33" s="33">
        <f t="shared" si="0"/>
        <v>2533.45878698033</v>
      </c>
      <c r="P33" s="17">
        <v>623</v>
      </c>
      <c r="Q33" s="17">
        <v>259</v>
      </c>
      <c r="R33" s="30">
        <v>457.00987506614825</v>
      </c>
      <c r="S33" s="17"/>
      <c r="T33" s="17">
        <v>94</v>
      </c>
      <c r="U33" s="92">
        <v>831</v>
      </c>
      <c r="V33" s="17"/>
      <c r="W33" s="17"/>
      <c r="X33" s="30">
        <f t="shared" si="5"/>
        <v>124.47158597509208</v>
      </c>
      <c r="Y33" s="30">
        <v>234</v>
      </c>
      <c r="Z33" s="15">
        <f t="shared" si="8"/>
        <v>2622.4814610412404</v>
      </c>
      <c r="AB33" s="23">
        <f t="shared" si="2"/>
        <v>-89.0226740609105</v>
      </c>
      <c r="AC33" s="62">
        <f t="shared" si="6"/>
        <v>-0.23112857507185464</v>
      </c>
      <c r="AD33" s="23">
        <f t="shared" si="3"/>
        <v>-204.81809017190966</v>
      </c>
      <c r="AF33" s="74" t="s">
        <v>57</v>
      </c>
      <c r="AG33" s="75" t="s">
        <v>58</v>
      </c>
      <c r="AH33" s="76">
        <v>800000</v>
      </c>
      <c r="AI33" s="77" t="s">
        <v>41</v>
      </c>
    </row>
    <row r="34" spans="2:35" ht="13.5">
      <c r="B34" s="95">
        <f t="shared" si="9"/>
        <v>2035</v>
      </c>
      <c r="C34" s="16">
        <f t="shared" si="9"/>
        <v>58</v>
      </c>
      <c r="D34" s="16">
        <f t="shared" si="9"/>
        <v>56</v>
      </c>
      <c r="E34" s="37">
        <f t="shared" si="9"/>
        <v>25</v>
      </c>
      <c r="F34" s="16">
        <f t="shared" si="9"/>
        <v>22</v>
      </c>
      <c r="G34" s="85">
        <v>2073.993374850133</v>
      </c>
      <c r="H34" s="86">
        <v>480</v>
      </c>
      <c r="I34" s="86"/>
      <c r="J34" s="86"/>
      <c r="K34" s="86"/>
      <c r="L34" s="86"/>
      <c r="M34" s="86"/>
      <c r="N34" s="33">
        <f t="shared" si="0"/>
        <v>2553.993374850133</v>
      </c>
      <c r="P34" s="17">
        <v>629</v>
      </c>
      <c r="Q34" s="17">
        <v>259</v>
      </c>
      <c r="R34" s="30">
        <v>230.78998690840487</v>
      </c>
      <c r="S34" s="17"/>
      <c r="T34" s="17">
        <v>94</v>
      </c>
      <c r="U34" s="92">
        <v>841</v>
      </c>
      <c r="V34" s="17"/>
      <c r="W34" s="17"/>
      <c r="X34" s="30">
        <f t="shared" si="5"/>
        <v>125.71630183484301</v>
      </c>
      <c r="Y34" s="30">
        <v>234</v>
      </c>
      <c r="Z34" s="15">
        <f t="shared" si="8"/>
        <v>2413.5062887432478</v>
      </c>
      <c r="AB34" s="23">
        <f t="shared" si="2"/>
        <v>140.48708610688527</v>
      </c>
      <c r="AC34" s="62">
        <f t="shared" si="6"/>
        <v>-0.4096361803438193</v>
      </c>
      <c r="AD34" s="23">
        <f t="shared" si="3"/>
        <v>-64.74064024536821</v>
      </c>
      <c r="AF34" s="78"/>
      <c r="AG34" s="78"/>
      <c r="AH34" s="79"/>
      <c r="AI34" s="78"/>
    </row>
    <row r="35" spans="2:35" ht="17.25">
      <c r="B35" s="95">
        <f t="shared" si="9"/>
        <v>2036</v>
      </c>
      <c r="C35" s="16">
        <f t="shared" si="9"/>
        <v>59</v>
      </c>
      <c r="D35" s="16">
        <f t="shared" si="9"/>
        <v>57</v>
      </c>
      <c r="E35" s="37">
        <f t="shared" si="9"/>
        <v>26</v>
      </c>
      <c r="F35" s="16">
        <f t="shared" si="9"/>
        <v>23</v>
      </c>
      <c r="G35" s="85">
        <v>2094.7333085986343</v>
      </c>
      <c r="H35" s="86">
        <v>480</v>
      </c>
      <c r="I35" s="86"/>
      <c r="J35" s="86"/>
      <c r="K35" s="86"/>
      <c r="L35" s="86"/>
      <c r="M35" s="86"/>
      <c r="N35" s="33">
        <f t="shared" si="0"/>
        <v>2574.7333085986343</v>
      </c>
      <c r="P35" s="17">
        <v>636</v>
      </c>
      <c r="Q35" s="17">
        <v>259</v>
      </c>
      <c r="R35" s="30">
        <v>233.09788677748892</v>
      </c>
      <c r="S35" s="17">
        <v>635</v>
      </c>
      <c r="T35" s="17">
        <v>161</v>
      </c>
      <c r="U35" s="92">
        <v>852</v>
      </c>
      <c r="V35" s="17"/>
      <c r="W35" s="17"/>
      <c r="X35" s="30">
        <f t="shared" si="5"/>
        <v>126.97346485319144</v>
      </c>
      <c r="Y35" s="30">
        <v>234</v>
      </c>
      <c r="Z35" s="15">
        <f t="shared" si="8"/>
        <v>3137.0713516306805</v>
      </c>
      <c r="AB35" s="23">
        <f t="shared" si="2"/>
        <v>-562.3380430320462</v>
      </c>
      <c r="AC35" s="62">
        <f t="shared" si="6"/>
        <v>-0.12948128049073643</v>
      </c>
      <c r="AD35" s="23">
        <f t="shared" si="3"/>
        <v>-627.2081645579052</v>
      </c>
      <c r="AF35" s="80" t="s">
        <v>59</v>
      </c>
      <c r="AG35" s="80"/>
      <c r="AH35" s="81"/>
      <c r="AI35" s="80"/>
    </row>
    <row r="36" spans="2:35" ht="14.25" customHeight="1">
      <c r="B36" s="95">
        <f t="shared" si="9"/>
        <v>2037</v>
      </c>
      <c r="C36" s="16">
        <f t="shared" si="9"/>
        <v>60</v>
      </c>
      <c r="D36" s="16">
        <f t="shared" si="9"/>
        <v>58</v>
      </c>
      <c r="E36" s="37">
        <f t="shared" si="9"/>
        <v>27</v>
      </c>
      <c r="F36" s="16">
        <f t="shared" si="9"/>
        <v>24</v>
      </c>
      <c r="G36" s="85">
        <v>2115.6806416846202</v>
      </c>
      <c r="H36" s="86">
        <v>480</v>
      </c>
      <c r="I36" s="86"/>
      <c r="J36" s="86"/>
      <c r="K36" s="86"/>
      <c r="L36" s="86"/>
      <c r="M36" s="86"/>
      <c r="N36" s="33">
        <f t="shared" si="0"/>
        <v>2595.6806416846202</v>
      </c>
      <c r="P36" s="17">
        <v>642</v>
      </c>
      <c r="Q36" s="17">
        <v>259</v>
      </c>
      <c r="R36" s="30">
        <v>235.4288656452638</v>
      </c>
      <c r="S36" s="17"/>
      <c r="T36" s="17">
        <v>161</v>
      </c>
      <c r="U36" s="92">
        <v>862</v>
      </c>
      <c r="V36" s="17"/>
      <c r="W36" s="17"/>
      <c r="X36" s="30"/>
      <c r="Y36" s="30">
        <v>234</v>
      </c>
      <c r="Z36" s="15">
        <f t="shared" si="8"/>
        <v>2393.4288656452636</v>
      </c>
      <c r="AB36" s="23">
        <f t="shared" si="2"/>
        <v>202.25177603935663</v>
      </c>
      <c r="AC36" s="62">
        <f t="shared" si="6"/>
        <v>-1.2544163291158104</v>
      </c>
      <c r="AD36" s="23">
        <f t="shared" si="3"/>
        <v>-426.21080484766435</v>
      </c>
      <c r="AF36" s="82"/>
      <c r="AG36" s="82"/>
      <c r="AH36" s="83"/>
      <c r="AI36" s="82"/>
    </row>
    <row r="37" spans="2:35" ht="13.5">
      <c r="B37" s="95">
        <f t="shared" si="9"/>
        <v>2038</v>
      </c>
      <c r="C37" s="16">
        <f t="shared" si="9"/>
        <v>61</v>
      </c>
      <c r="D37" s="16">
        <f t="shared" si="9"/>
        <v>59</v>
      </c>
      <c r="E37" s="37">
        <f t="shared" si="9"/>
        <v>28</v>
      </c>
      <c r="F37" s="16">
        <f t="shared" si="9"/>
        <v>25</v>
      </c>
      <c r="G37" s="85">
        <v>2136.8374481014666</v>
      </c>
      <c r="H37" s="86">
        <v>480</v>
      </c>
      <c r="I37" s="86"/>
      <c r="J37" s="86"/>
      <c r="K37" s="86"/>
      <c r="L37" s="86"/>
      <c r="M37" s="86"/>
      <c r="N37" s="33">
        <f t="shared" si="0"/>
        <v>2616.8374481014666</v>
      </c>
      <c r="P37" s="17">
        <v>519</v>
      </c>
      <c r="Q37" s="17">
        <v>259</v>
      </c>
      <c r="R37" s="30"/>
      <c r="S37" s="17"/>
      <c r="T37" s="17">
        <v>161</v>
      </c>
      <c r="U37" s="92">
        <v>873</v>
      </c>
      <c r="V37" s="17"/>
      <c r="W37" s="17"/>
      <c r="X37" s="30"/>
      <c r="Y37" s="30">
        <v>234</v>
      </c>
      <c r="Z37" s="15">
        <f t="shared" si="8"/>
        <v>2046</v>
      </c>
      <c r="AB37" s="23">
        <f t="shared" si="2"/>
        <v>570.8374481014666</v>
      </c>
      <c r="AC37" s="62">
        <f t="shared" si="6"/>
        <v>-0.8524216096953288</v>
      </c>
      <c r="AD37" s="23">
        <f t="shared" si="3"/>
        <v>143.77422164410694</v>
      </c>
      <c r="AF37" s="67" t="s">
        <v>60</v>
      </c>
      <c r="AG37" s="68" t="s">
        <v>61</v>
      </c>
      <c r="AH37" s="84" t="s">
        <v>62</v>
      </c>
      <c r="AI37" s="69" t="s">
        <v>63</v>
      </c>
    </row>
    <row r="38" spans="2:35" ht="13.5">
      <c r="B38" s="95">
        <f t="shared" si="9"/>
        <v>2039</v>
      </c>
      <c r="C38" s="16">
        <f t="shared" si="9"/>
        <v>62</v>
      </c>
      <c r="D38" s="16">
        <f t="shared" si="9"/>
        <v>60</v>
      </c>
      <c r="E38" s="37">
        <f t="shared" si="9"/>
        <v>29</v>
      </c>
      <c r="F38" s="16">
        <f t="shared" si="9"/>
        <v>26</v>
      </c>
      <c r="G38" s="85">
        <v>2158.2058225824812</v>
      </c>
      <c r="H38" s="86">
        <v>480</v>
      </c>
      <c r="I38" s="86"/>
      <c r="J38" s="86"/>
      <c r="K38" s="86"/>
      <c r="L38" s="86"/>
      <c r="M38" s="86"/>
      <c r="N38" s="33">
        <f t="shared" si="0"/>
        <v>2638.2058225824812</v>
      </c>
      <c r="P38" s="17">
        <v>514</v>
      </c>
      <c r="Q38" s="17">
        <v>259</v>
      </c>
      <c r="R38" s="30"/>
      <c r="S38" s="17"/>
      <c r="T38" s="17">
        <v>161</v>
      </c>
      <c r="U38" s="92">
        <v>883</v>
      </c>
      <c r="V38" s="17"/>
      <c r="W38" s="17"/>
      <c r="X38" s="30"/>
      <c r="Y38" s="30">
        <v>234</v>
      </c>
      <c r="Z38" s="15">
        <f t="shared" si="8"/>
        <v>2051</v>
      </c>
      <c r="AB38" s="23">
        <f t="shared" si="2"/>
        <v>587.2058225824812</v>
      </c>
      <c r="AC38" s="62">
        <f t="shared" si="6"/>
        <v>0.2875484432882139</v>
      </c>
      <c r="AD38" s="23">
        <f t="shared" si="3"/>
        <v>731.2675926698764</v>
      </c>
      <c r="AF38" s="70"/>
      <c r="AG38" s="71" t="s">
        <v>94</v>
      </c>
      <c r="AH38" s="73" t="s">
        <v>93</v>
      </c>
      <c r="AI38" s="72" t="s">
        <v>63</v>
      </c>
    </row>
    <row r="39" spans="2:35" ht="13.5">
      <c r="B39" s="95">
        <f t="shared" si="9"/>
        <v>2040</v>
      </c>
      <c r="C39" s="16">
        <f t="shared" si="9"/>
        <v>63</v>
      </c>
      <c r="D39" s="16">
        <f t="shared" si="9"/>
        <v>61</v>
      </c>
      <c r="E39" s="37">
        <f t="shared" si="9"/>
        <v>30</v>
      </c>
      <c r="F39" s="16">
        <f t="shared" si="9"/>
        <v>27</v>
      </c>
      <c r="G39" s="85">
        <v>2179.7878808083055</v>
      </c>
      <c r="H39" s="86">
        <v>480</v>
      </c>
      <c r="I39" s="86"/>
      <c r="J39" s="86"/>
      <c r="K39" s="86"/>
      <c r="L39" s="86"/>
      <c r="M39" s="86"/>
      <c r="N39" s="33">
        <f t="shared" si="0"/>
        <v>2659.7878808083055</v>
      </c>
      <c r="P39" s="17">
        <v>529</v>
      </c>
      <c r="Q39" s="17">
        <v>259</v>
      </c>
      <c r="R39" s="30">
        <v>239</v>
      </c>
      <c r="S39" s="17"/>
      <c r="T39" s="17">
        <v>161</v>
      </c>
      <c r="U39" s="92">
        <v>894</v>
      </c>
      <c r="V39" s="17"/>
      <c r="W39" s="17"/>
      <c r="X39" s="30"/>
      <c r="Y39" s="30">
        <v>234</v>
      </c>
      <c r="Z39" s="15">
        <f t="shared" si="8"/>
        <v>2316</v>
      </c>
      <c r="AB39" s="23">
        <f t="shared" si="2"/>
        <v>343.78788080830554</v>
      </c>
      <c r="AC39" s="62">
        <f t="shared" si="6"/>
        <v>1.4625351853397528</v>
      </c>
      <c r="AD39" s="23">
        <f t="shared" si="3"/>
        <v>1076.5180086635219</v>
      </c>
      <c r="AF39" s="70"/>
      <c r="AG39" s="71" t="s">
        <v>64</v>
      </c>
      <c r="AH39" s="73" t="s">
        <v>95</v>
      </c>
      <c r="AI39" s="72" t="s">
        <v>63</v>
      </c>
    </row>
    <row r="40" spans="2:35" ht="13.5">
      <c r="B40" s="95">
        <f t="shared" si="9"/>
        <v>2041</v>
      </c>
      <c r="C40" s="16">
        <f t="shared" si="9"/>
        <v>64</v>
      </c>
      <c r="D40" s="16">
        <f t="shared" si="9"/>
        <v>62</v>
      </c>
      <c r="E40" s="37">
        <f t="shared" si="9"/>
        <v>31</v>
      </c>
      <c r="F40" s="16">
        <f t="shared" si="9"/>
        <v>28</v>
      </c>
      <c r="G40" s="85">
        <v>2201.5857596163887</v>
      </c>
      <c r="H40" s="86">
        <v>480</v>
      </c>
      <c r="I40" s="86"/>
      <c r="J40" s="86"/>
      <c r="K40" s="86"/>
      <c r="L40" s="86"/>
      <c r="M40" s="86"/>
      <c r="N40" s="33">
        <f t="shared" si="0"/>
        <v>2681.5857596163887</v>
      </c>
      <c r="P40" s="17">
        <v>535</v>
      </c>
      <c r="Q40" s="17">
        <v>259</v>
      </c>
      <c r="R40" s="30"/>
      <c r="S40" s="17"/>
      <c r="T40" s="17">
        <v>161</v>
      </c>
      <c r="U40" s="92">
        <v>905</v>
      </c>
      <c r="V40" s="17"/>
      <c r="W40" s="17"/>
      <c r="X40" s="30"/>
      <c r="Y40" s="30">
        <v>234</v>
      </c>
      <c r="Z40" s="15">
        <f t="shared" si="8"/>
        <v>2094</v>
      </c>
      <c r="AB40" s="23">
        <f t="shared" si="2"/>
        <v>587.5857596163887</v>
      </c>
      <c r="AC40" s="62">
        <f t="shared" si="6"/>
        <v>2.153036017327044</v>
      </c>
      <c r="AD40" s="23">
        <f t="shared" si="3"/>
        <v>1666.2568042972375</v>
      </c>
      <c r="AF40" s="70"/>
      <c r="AG40" s="71" t="s">
        <v>65</v>
      </c>
      <c r="AH40" s="73" t="s">
        <v>66</v>
      </c>
      <c r="AI40" s="72" t="s">
        <v>63</v>
      </c>
    </row>
    <row r="41" spans="2:35" ht="13.5">
      <c r="B41" s="95">
        <f t="shared" si="9"/>
        <v>2042</v>
      </c>
      <c r="C41" s="16">
        <f t="shared" si="9"/>
        <v>65</v>
      </c>
      <c r="D41" s="16">
        <f t="shared" si="9"/>
        <v>63</v>
      </c>
      <c r="E41" s="37">
        <f t="shared" si="9"/>
        <v>32</v>
      </c>
      <c r="F41" s="16">
        <f t="shared" si="9"/>
        <v>29</v>
      </c>
      <c r="G41" s="85"/>
      <c r="H41" s="86"/>
      <c r="I41" s="88">
        <v>223</v>
      </c>
      <c r="J41" s="88"/>
      <c r="K41" s="88"/>
      <c r="L41" s="86"/>
      <c r="M41" s="86"/>
      <c r="N41" s="33">
        <f t="shared" si="0"/>
        <v>223</v>
      </c>
      <c r="P41" s="17">
        <v>432</v>
      </c>
      <c r="Q41" s="17">
        <v>259</v>
      </c>
      <c r="R41" s="30"/>
      <c r="S41" s="17"/>
      <c r="T41" s="17">
        <v>161</v>
      </c>
      <c r="U41" s="121">
        <v>310</v>
      </c>
      <c r="V41" s="17"/>
      <c r="W41" s="17">
        <v>15</v>
      </c>
      <c r="X41" s="30"/>
      <c r="Y41" s="30" t="s">
        <v>89</v>
      </c>
      <c r="Z41" s="15">
        <f t="shared" si="8"/>
        <v>1177</v>
      </c>
      <c r="AB41" s="23">
        <f t="shared" si="2"/>
        <v>-954</v>
      </c>
      <c r="AC41" s="62">
        <f t="shared" si="6"/>
        <v>3.3325136085944753</v>
      </c>
      <c r="AD41" s="23">
        <f t="shared" si="3"/>
        <v>715.5893179058321</v>
      </c>
      <c r="AF41" s="70" t="s">
        <v>67</v>
      </c>
      <c r="AG41" s="71" t="s">
        <v>68</v>
      </c>
      <c r="AH41" s="73" t="s">
        <v>69</v>
      </c>
      <c r="AI41" s="72" t="s">
        <v>63</v>
      </c>
    </row>
    <row r="42" spans="2:35" ht="13.5">
      <c r="B42" s="95">
        <f t="shared" si="9"/>
        <v>2043</v>
      </c>
      <c r="C42" s="16">
        <f t="shared" si="9"/>
        <v>66</v>
      </c>
      <c r="D42" s="16">
        <f t="shared" si="9"/>
        <v>64</v>
      </c>
      <c r="E42" s="37">
        <f t="shared" si="9"/>
        <v>33</v>
      </c>
      <c r="F42" s="16">
        <f t="shared" si="9"/>
        <v>30</v>
      </c>
      <c r="G42" s="85"/>
      <c r="H42" s="86"/>
      <c r="I42" s="88">
        <v>225</v>
      </c>
      <c r="J42" s="88"/>
      <c r="K42" s="88"/>
      <c r="L42" s="86"/>
      <c r="M42" s="86"/>
      <c r="N42" s="33">
        <f t="shared" si="0"/>
        <v>225</v>
      </c>
      <c r="P42" s="17">
        <v>436</v>
      </c>
      <c r="Q42" s="17">
        <v>259</v>
      </c>
      <c r="R42" s="30">
        <v>246</v>
      </c>
      <c r="S42" s="17">
        <v>681</v>
      </c>
      <c r="T42" s="17">
        <v>32</v>
      </c>
      <c r="U42" s="121">
        <v>21</v>
      </c>
      <c r="V42" s="17"/>
      <c r="W42" s="17">
        <v>15</v>
      </c>
      <c r="X42" s="30"/>
      <c r="Y42" s="30"/>
      <c r="Z42" s="15">
        <f t="shared" si="8"/>
        <v>1690</v>
      </c>
      <c r="AB42" s="23">
        <f t="shared" si="2"/>
        <v>-1465</v>
      </c>
      <c r="AC42" s="62">
        <f t="shared" si="6"/>
        <v>1.4311786358116643</v>
      </c>
      <c r="AD42" s="23">
        <f t="shared" si="3"/>
        <v>-747.9795034583562</v>
      </c>
      <c r="AF42" s="70"/>
      <c r="AG42" s="71" t="s">
        <v>70</v>
      </c>
      <c r="AH42" s="73" t="s">
        <v>86</v>
      </c>
      <c r="AI42" s="72" t="s">
        <v>63</v>
      </c>
    </row>
    <row r="43" spans="2:35" ht="13.5">
      <c r="B43" s="95">
        <f t="shared" si="9"/>
        <v>2044</v>
      </c>
      <c r="C43" s="16">
        <f t="shared" si="9"/>
        <v>67</v>
      </c>
      <c r="D43" s="16">
        <f t="shared" si="9"/>
        <v>65</v>
      </c>
      <c r="E43" s="37">
        <f t="shared" si="9"/>
        <v>34</v>
      </c>
      <c r="F43" s="16">
        <f t="shared" si="9"/>
        <v>31</v>
      </c>
      <c r="G43" s="85"/>
      <c r="H43" s="86"/>
      <c r="I43" s="88">
        <v>227</v>
      </c>
      <c r="J43" s="89">
        <v>130</v>
      </c>
      <c r="K43" s="88"/>
      <c r="L43" s="86"/>
      <c r="M43" s="86"/>
      <c r="N43" s="33">
        <f t="shared" si="0"/>
        <v>357</v>
      </c>
      <c r="P43" s="17">
        <v>441</v>
      </c>
      <c r="Q43" s="17">
        <v>259</v>
      </c>
      <c r="R43" s="17"/>
      <c r="S43" s="17"/>
      <c r="T43" s="17">
        <v>32</v>
      </c>
      <c r="U43" s="121">
        <v>23</v>
      </c>
      <c r="V43" s="17"/>
      <c r="W43" s="17">
        <v>15</v>
      </c>
      <c r="X43" s="17"/>
      <c r="Y43" s="17"/>
      <c r="Z43" s="15">
        <f t="shared" si="8"/>
        <v>770</v>
      </c>
      <c r="AB43" s="23">
        <f t="shared" si="2"/>
        <v>-413</v>
      </c>
      <c r="AC43" s="62">
        <f t="shared" si="6"/>
        <v>-1.4959590069167126</v>
      </c>
      <c r="AD43" s="23">
        <f t="shared" si="3"/>
        <v>-1162.4754624652728</v>
      </c>
      <c r="AF43" s="70" t="s">
        <v>71</v>
      </c>
      <c r="AG43" s="71" t="s">
        <v>72</v>
      </c>
      <c r="AH43" s="73" t="s">
        <v>88</v>
      </c>
      <c r="AI43" s="72" t="s">
        <v>73</v>
      </c>
    </row>
    <row r="44" spans="2:35" ht="13.5">
      <c r="B44" s="95">
        <f t="shared" si="9"/>
        <v>2045</v>
      </c>
      <c r="C44" s="16">
        <f t="shared" si="9"/>
        <v>68</v>
      </c>
      <c r="D44" s="16">
        <f t="shared" si="9"/>
        <v>66</v>
      </c>
      <c r="E44" s="37">
        <f t="shared" si="9"/>
        <v>35</v>
      </c>
      <c r="F44" s="16">
        <f t="shared" si="9"/>
        <v>32</v>
      </c>
      <c r="G44" s="85"/>
      <c r="H44" s="86"/>
      <c r="I44" s="88">
        <v>230</v>
      </c>
      <c r="J44" s="89">
        <v>131</v>
      </c>
      <c r="K44" s="88"/>
      <c r="L44" s="86"/>
      <c r="M44" s="86"/>
      <c r="N44" s="33">
        <f t="shared" si="0"/>
        <v>361</v>
      </c>
      <c r="P44" s="17">
        <v>445</v>
      </c>
      <c r="Q44" s="17">
        <v>114</v>
      </c>
      <c r="R44" s="17"/>
      <c r="S44" s="17"/>
      <c r="T44" s="17">
        <v>32</v>
      </c>
      <c r="U44" s="121">
        <v>24</v>
      </c>
      <c r="V44" s="17"/>
      <c r="W44" s="17">
        <v>15</v>
      </c>
      <c r="X44" s="17"/>
      <c r="Y44" s="17"/>
      <c r="Z44" s="15">
        <f t="shared" si="8"/>
        <v>630</v>
      </c>
      <c r="AB44" s="23">
        <f t="shared" si="2"/>
        <v>-269</v>
      </c>
      <c r="AC44" s="62">
        <f t="shared" si="6"/>
        <v>-2.324950924930546</v>
      </c>
      <c r="AD44" s="23">
        <f t="shared" si="3"/>
        <v>-1433.8004133902034</v>
      </c>
      <c r="AF44" s="70" t="s">
        <v>74</v>
      </c>
      <c r="AG44" s="71" t="s">
        <v>75</v>
      </c>
      <c r="AH44" s="73" t="s">
        <v>76</v>
      </c>
      <c r="AI44" s="72"/>
    </row>
    <row r="45" spans="2:35" ht="13.5">
      <c r="B45" s="95">
        <f aca="true" t="shared" si="10" ref="B45:F60">B44+1</f>
        <v>2046</v>
      </c>
      <c r="C45" s="16">
        <f t="shared" si="10"/>
        <v>69</v>
      </c>
      <c r="D45" s="16">
        <f t="shared" si="10"/>
        <v>67</v>
      </c>
      <c r="E45" s="37">
        <f t="shared" si="10"/>
        <v>36</v>
      </c>
      <c r="F45" s="16">
        <f t="shared" si="10"/>
        <v>33</v>
      </c>
      <c r="G45" s="85"/>
      <c r="H45" s="86"/>
      <c r="I45" s="88">
        <v>232</v>
      </c>
      <c r="J45" s="89">
        <v>133</v>
      </c>
      <c r="K45" s="88"/>
      <c r="L45" s="86"/>
      <c r="M45" s="86"/>
      <c r="N45" s="33">
        <f t="shared" si="0"/>
        <v>365</v>
      </c>
      <c r="P45" s="17">
        <v>449</v>
      </c>
      <c r="Q45" s="17">
        <v>65</v>
      </c>
      <c r="R45" s="17"/>
      <c r="S45" s="17"/>
      <c r="T45" s="17">
        <v>32</v>
      </c>
      <c r="U45" s="121">
        <v>24</v>
      </c>
      <c r="V45" s="17"/>
      <c r="W45" s="17">
        <v>15</v>
      </c>
      <c r="X45" s="17"/>
      <c r="Y45" s="17"/>
      <c r="Z45" s="15">
        <f t="shared" si="8"/>
        <v>585</v>
      </c>
      <c r="AB45" s="23">
        <f t="shared" si="2"/>
        <v>-220</v>
      </c>
      <c r="AC45" s="62">
        <f t="shared" si="6"/>
        <v>-2.8676008267804067</v>
      </c>
      <c r="AD45" s="23">
        <f t="shared" si="3"/>
        <v>-1656.668014216984</v>
      </c>
      <c r="AF45" s="70" t="s">
        <v>77</v>
      </c>
      <c r="AG45" s="71" t="s">
        <v>78</v>
      </c>
      <c r="AH45" s="73" t="s">
        <v>62</v>
      </c>
      <c r="AI45" s="72" t="s">
        <v>79</v>
      </c>
    </row>
    <row r="46" spans="2:35" ht="13.5">
      <c r="B46" s="95">
        <f t="shared" si="10"/>
        <v>2047</v>
      </c>
      <c r="C46" s="16">
        <f t="shared" si="10"/>
        <v>70</v>
      </c>
      <c r="D46" s="16">
        <f t="shared" si="10"/>
        <v>68</v>
      </c>
      <c r="E46" s="37">
        <f t="shared" si="10"/>
        <v>37</v>
      </c>
      <c r="F46" s="16">
        <f t="shared" si="10"/>
        <v>34</v>
      </c>
      <c r="G46" s="31"/>
      <c r="H46" s="32"/>
      <c r="I46" s="88">
        <v>234</v>
      </c>
      <c r="J46" s="89">
        <v>134</v>
      </c>
      <c r="K46" s="88"/>
      <c r="L46" s="32"/>
      <c r="M46" s="32"/>
      <c r="N46" s="33">
        <f t="shared" si="0"/>
        <v>368</v>
      </c>
      <c r="P46" s="17">
        <v>454</v>
      </c>
      <c r="Q46" s="17">
        <v>65</v>
      </c>
      <c r="R46" s="17"/>
      <c r="S46" s="17"/>
      <c r="T46" s="17">
        <v>32</v>
      </c>
      <c r="U46" s="121">
        <v>24</v>
      </c>
      <c r="V46" s="17"/>
      <c r="W46" s="17">
        <v>15</v>
      </c>
      <c r="X46" s="17"/>
      <c r="Y46" s="17"/>
      <c r="Z46" s="15">
        <f t="shared" si="8"/>
        <v>590</v>
      </c>
      <c r="AB46" s="23">
        <f t="shared" si="2"/>
        <v>-222</v>
      </c>
      <c r="AC46" s="62">
        <f t="shared" si="6"/>
        <v>-3.313336028433968</v>
      </c>
      <c r="AD46" s="23">
        <f t="shared" si="3"/>
        <v>-1881.9813502454178</v>
      </c>
      <c r="AF46" s="70" t="s">
        <v>80</v>
      </c>
      <c r="AG46" s="71" t="s">
        <v>81</v>
      </c>
      <c r="AH46" s="73" t="s">
        <v>82</v>
      </c>
      <c r="AI46" s="72" t="s">
        <v>63</v>
      </c>
    </row>
    <row r="47" spans="2:35" ht="13.5">
      <c r="B47" s="95">
        <f t="shared" si="10"/>
        <v>2048</v>
      </c>
      <c r="C47" s="16">
        <f t="shared" si="10"/>
        <v>71</v>
      </c>
      <c r="D47" s="16">
        <f t="shared" si="10"/>
        <v>69</v>
      </c>
      <c r="E47" s="37">
        <f t="shared" si="10"/>
        <v>38</v>
      </c>
      <c r="F47" s="16">
        <f t="shared" si="10"/>
        <v>35</v>
      </c>
      <c r="G47" s="31"/>
      <c r="H47" s="32"/>
      <c r="I47" s="88">
        <v>236</v>
      </c>
      <c r="J47" s="89">
        <v>135</v>
      </c>
      <c r="K47" s="88"/>
      <c r="L47" s="32"/>
      <c r="M47" s="32"/>
      <c r="N47" s="33">
        <f t="shared" si="0"/>
        <v>371</v>
      </c>
      <c r="P47" s="17">
        <v>458</v>
      </c>
      <c r="Q47" s="17">
        <v>65</v>
      </c>
      <c r="R47" s="17"/>
      <c r="S47" s="17"/>
      <c r="T47" s="17">
        <v>32</v>
      </c>
      <c r="U47" s="121">
        <v>25</v>
      </c>
      <c r="V47" s="17"/>
      <c r="W47" s="17">
        <v>15</v>
      </c>
      <c r="X47" s="17"/>
      <c r="Y47" s="17"/>
      <c r="Z47" s="15">
        <f t="shared" si="8"/>
        <v>595</v>
      </c>
      <c r="AB47" s="23">
        <f t="shared" si="2"/>
        <v>-224</v>
      </c>
      <c r="AC47" s="62">
        <f t="shared" si="6"/>
        <v>-3.763962700490836</v>
      </c>
      <c r="AD47" s="23">
        <f t="shared" si="3"/>
        <v>-2109.7453129459086</v>
      </c>
      <c r="AF47" s="70"/>
      <c r="AG47" s="71" t="s">
        <v>83</v>
      </c>
      <c r="AH47" s="73" t="s">
        <v>84</v>
      </c>
      <c r="AI47" s="72" t="s">
        <v>63</v>
      </c>
    </row>
    <row r="48" spans="2:35" ht="13.5">
      <c r="B48" s="95">
        <f t="shared" si="10"/>
        <v>2049</v>
      </c>
      <c r="C48" s="16">
        <f t="shared" si="10"/>
        <v>72</v>
      </c>
      <c r="D48" s="16">
        <f t="shared" si="10"/>
        <v>70</v>
      </c>
      <c r="E48" s="37">
        <f t="shared" si="10"/>
        <v>39</v>
      </c>
      <c r="F48" s="16">
        <f t="shared" si="10"/>
        <v>36</v>
      </c>
      <c r="G48" s="31"/>
      <c r="H48" s="32"/>
      <c r="I48" s="88">
        <v>239</v>
      </c>
      <c r="J48" s="89">
        <v>137</v>
      </c>
      <c r="K48" s="88"/>
      <c r="L48" s="32"/>
      <c r="M48" s="32"/>
      <c r="N48" s="33">
        <f t="shared" si="0"/>
        <v>376</v>
      </c>
      <c r="P48" s="17">
        <v>463</v>
      </c>
      <c r="Q48" s="17">
        <v>65</v>
      </c>
      <c r="R48" s="17"/>
      <c r="S48" s="17"/>
      <c r="T48" s="17">
        <v>32</v>
      </c>
      <c r="U48" s="121">
        <v>24</v>
      </c>
      <c r="V48" s="17"/>
      <c r="W48" s="17"/>
      <c r="X48" s="17"/>
      <c r="Y48" s="17"/>
      <c r="Z48" s="15">
        <f t="shared" si="8"/>
        <v>584</v>
      </c>
      <c r="AB48" s="23">
        <f t="shared" si="2"/>
        <v>-208</v>
      </c>
      <c r="AC48" s="62">
        <f t="shared" si="6"/>
        <v>-4.219490625891817</v>
      </c>
      <c r="AD48" s="23">
        <f t="shared" si="3"/>
        <v>-2321.9648035718005</v>
      </c>
      <c r="AF48" s="70"/>
      <c r="AG48" s="71" t="s">
        <v>97</v>
      </c>
      <c r="AH48" s="73" t="s">
        <v>85</v>
      </c>
      <c r="AI48" s="72" t="s">
        <v>63</v>
      </c>
    </row>
    <row r="49" spans="2:35" ht="13.5">
      <c r="B49" s="95">
        <f t="shared" si="10"/>
        <v>2050</v>
      </c>
      <c r="C49" s="16">
        <f t="shared" si="10"/>
        <v>73</v>
      </c>
      <c r="D49" s="16">
        <f t="shared" si="10"/>
        <v>71</v>
      </c>
      <c r="E49" s="37">
        <f t="shared" si="10"/>
        <v>40</v>
      </c>
      <c r="F49" s="16">
        <f t="shared" si="10"/>
        <v>37</v>
      </c>
      <c r="G49" s="31"/>
      <c r="H49" s="32"/>
      <c r="I49" s="88">
        <v>241</v>
      </c>
      <c r="J49" s="89">
        <v>138</v>
      </c>
      <c r="K49" s="88"/>
      <c r="L49" s="32"/>
      <c r="M49" s="32"/>
      <c r="N49" s="33">
        <f t="shared" si="0"/>
        <v>379</v>
      </c>
      <c r="P49" s="17">
        <v>468</v>
      </c>
      <c r="Q49" s="17">
        <v>65</v>
      </c>
      <c r="R49" s="17"/>
      <c r="S49" s="17"/>
      <c r="T49" s="17">
        <v>32</v>
      </c>
      <c r="U49" s="121">
        <v>25</v>
      </c>
      <c r="V49" s="17"/>
      <c r="W49" s="17"/>
      <c r="X49" s="17"/>
      <c r="Y49" s="17"/>
      <c r="Z49" s="15">
        <f t="shared" si="8"/>
        <v>590</v>
      </c>
      <c r="AB49" s="23">
        <f t="shared" si="2"/>
        <v>-211</v>
      </c>
      <c r="AC49" s="62">
        <f t="shared" si="6"/>
        <v>-4.643929607143601</v>
      </c>
      <c r="AD49" s="23">
        <f t="shared" si="3"/>
        <v>-2537.608733178944</v>
      </c>
      <c r="AF49" s="74"/>
      <c r="AG49" s="75" t="s">
        <v>96</v>
      </c>
      <c r="AH49" s="76" t="s">
        <v>87</v>
      </c>
      <c r="AI49" s="77" t="s">
        <v>63</v>
      </c>
    </row>
    <row r="50" spans="2:34" ht="13.5">
      <c r="B50" s="95">
        <f t="shared" si="10"/>
        <v>2051</v>
      </c>
      <c r="C50" s="16">
        <f t="shared" si="10"/>
        <v>74</v>
      </c>
      <c r="D50" s="16">
        <f t="shared" si="10"/>
        <v>72</v>
      </c>
      <c r="E50" s="37">
        <f t="shared" si="10"/>
        <v>41</v>
      </c>
      <c r="F50" s="16">
        <f t="shared" si="10"/>
        <v>38</v>
      </c>
      <c r="G50" s="31"/>
      <c r="H50" s="32"/>
      <c r="I50" s="88">
        <v>244</v>
      </c>
      <c r="J50" s="89">
        <v>139</v>
      </c>
      <c r="K50" s="88"/>
      <c r="L50" s="32"/>
      <c r="M50" s="32"/>
      <c r="N50" s="33">
        <f t="shared" si="0"/>
        <v>383</v>
      </c>
      <c r="P50" s="17">
        <v>472</v>
      </c>
      <c r="Q50" s="17">
        <v>65</v>
      </c>
      <c r="R50" s="17"/>
      <c r="S50" s="17"/>
      <c r="T50" s="17">
        <v>32</v>
      </c>
      <c r="U50" s="121">
        <v>25</v>
      </c>
      <c r="V50" s="17"/>
      <c r="W50" s="17"/>
      <c r="X50" s="17"/>
      <c r="Y50" s="17"/>
      <c r="Z50" s="15">
        <f t="shared" si="8"/>
        <v>594</v>
      </c>
      <c r="AB50" s="23">
        <f t="shared" si="2"/>
        <v>-211</v>
      </c>
      <c r="AC50" s="62">
        <f t="shared" si="6"/>
        <v>-5.075217466357888</v>
      </c>
      <c r="AD50" s="23">
        <f t="shared" si="3"/>
        <v>-2753.683950645302</v>
      </c>
      <c r="AH50" s="60"/>
    </row>
    <row r="51" spans="2:30" ht="13.5">
      <c r="B51" s="95">
        <f t="shared" si="10"/>
        <v>2052</v>
      </c>
      <c r="C51" s="16">
        <f t="shared" si="10"/>
        <v>75</v>
      </c>
      <c r="D51" s="16">
        <f t="shared" si="10"/>
        <v>73</v>
      </c>
      <c r="E51" s="37">
        <f t="shared" si="10"/>
        <v>42</v>
      </c>
      <c r="F51" s="16">
        <f t="shared" si="10"/>
        <v>39</v>
      </c>
      <c r="G51" s="31"/>
      <c r="H51" s="32"/>
      <c r="I51" s="88">
        <v>246</v>
      </c>
      <c r="J51" s="89">
        <v>141</v>
      </c>
      <c r="K51" s="88"/>
      <c r="L51" s="32"/>
      <c r="M51" s="32"/>
      <c r="N51" s="33">
        <f t="shared" si="0"/>
        <v>387</v>
      </c>
      <c r="P51" s="17">
        <v>477</v>
      </c>
      <c r="Q51" s="17">
        <v>65</v>
      </c>
      <c r="R51" s="17"/>
      <c r="S51" s="17"/>
      <c r="T51" s="17">
        <v>32</v>
      </c>
      <c r="U51" s="121">
        <v>28</v>
      </c>
      <c r="V51" s="17"/>
      <c r="W51" s="17"/>
      <c r="X51" s="17"/>
      <c r="Y51" s="17"/>
      <c r="Z51" s="15">
        <f t="shared" si="8"/>
        <v>602</v>
      </c>
      <c r="AB51" s="23">
        <f t="shared" si="2"/>
        <v>-215</v>
      </c>
      <c r="AC51" s="62">
        <f t="shared" si="6"/>
        <v>-5.507367901290604</v>
      </c>
      <c r="AD51" s="23">
        <f t="shared" si="3"/>
        <v>-2974.191318546593</v>
      </c>
    </row>
    <row r="52" spans="2:30" ht="13.5">
      <c r="B52" s="95">
        <f t="shared" si="10"/>
        <v>2053</v>
      </c>
      <c r="C52" s="16">
        <f t="shared" si="10"/>
        <v>76</v>
      </c>
      <c r="D52" s="16">
        <f t="shared" si="10"/>
        <v>74</v>
      </c>
      <c r="E52" s="37">
        <f t="shared" si="10"/>
        <v>43</v>
      </c>
      <c r="F52" s="16">
        <f t="shared" si="10"/>
        <v>40</v>
      </c>
      <c r="G52" s="31"/>
      <c r="H52" s="32"/>
      <c r="I52" s="88">
        <v>249</v>
      </c>
      <c r="J52" s="89">
        <v>142</v>
      </c>
      <c r="K52" s="88"/>
      <c r="L52" s="32"/>
      <c r="M52" s="32"/>
      <c r="N52" s="33">
        <f t="shared" si="0"/>
        <v>391</v>
      </c>
      <c r="P52" s="17">
        <v>482</v>
      </c>
      <c r="Q52" s="17">
        <v>65</v>
      </c>
      <c r="R52" s="17"/>
      <c r="S52" s="17"/>
      <c r="T52" s="17">
        <v>32</v>
      </c>
      <c r="U52" s="121">
        <v>33</v>
      </c>
      <c r="V52" s="17"/>
      <c r="W52" s="17"/>
      <c r="X52" s="17"/>
      <c r="Y52" s="17"/>
      <c r="Z52" s="15">
        <f t="shared" si="8"/>
        <v>612</v>
      </c>
      <c r="AB52" s="23">
        <f t="shared" si="2"/>
        <v>-221</v>
      </c>
      <c r="AC52" s="62">
        <f t="shared" si="6"/>
        <v>-5.948382637093186</v>
      </c>
      <c r="AD52" s="23">
        <f t="shared" si="3"/>
        <v>-3201.139701183686</v>
      </c>
    </row>
    <row r="53" spans="2:30" ht="13.5">
      <c r="B53" s="95">
        <f t="shared" si="10"/>
        <v>2054</v>
      </c>
      <c r="C53" s="16">
        <f t="shared" si="10"/>
        <v>77</v>
      </c>
      <c r="D53" s="16">
        <f t="shared" si="10"/>
        <v>75</v>
      </c>
      <c r="E53" s="37">
        <f t="shared" si="10"/>
        <v>44</v>
      </c>
      <c r="F53" s="16">
        <f t="shared" si="10"/>
        <v>41</v>
      </c>
      <c r="G53" s="31"/>
      <c r="H53" s="32"/>
      <c r="I53" s="88">
        <v>251</v>
      </c>
      <c r="J53" s="89">
        <v>144</v>
      </c>
      <c r="K53" s="88"/>
      <c r="L53" s="32"/>
      <c r="M53" s="32"/>
      <c r="N53" s="33">
        <f t="shared" si="0"/>
        <v>395</v>
      </c>
      <c r="P53" s="17">
        <v>487</v>
      </c>
      <c r="Q53" s="17">
        <v>65</v>
      </c>
      <c r="R53" s="17"/>
      <c r="S53" s="17"/>
      <c r="T53" s="17">
        <v>32</v>
      </c>
      <c r="U53" s="121">
        <v>33</v>
      </c>
      <c r="V53" s="17"/>
      <c r="W53" s="17"/>
      <c r="X53" s="17"/>
      <c r="Y53" s="17"/>
      <c r="Z53" s="15">
        <f t="shared" si="8"/>
        <v>617</v>
      </c>
      <c r="AB53" s="23">
        <f t="shared" si="2"/>
        <v>-222</v>
      </c>
      <c r="AC53" s="62">
        <f t="shared" si="6"/>
        <v>-6.402279402367372</v>
      </c>
      <c r="AD53" s="23">
        <f t="shared" si="3"/>
        <v>-3429.5419805860533</v>
      </c>
    </row>
    <row r="54" spans="2:30" ht="13.5">
      <c r="B54" s="95">
        <f t="shared" si="10"/>
        <v>2055</v>
      </c>
      <c r="C54" s="16">
        <f t="shared" si="10"/>
        <v>78</v>
      </c>
      <c r="D54" s="16">
        <f t="shared" si="10"/>
        <v>76</v>
      </c>
      <c r="E54" s="37">
        <f t="shared" si="10"/>
        <v>45</v>
      </c>
      <c r="F54" s="16">
        <f t="shared" si="10"/>
        <v>42</v>
      </c>
      <c r="G54" s="31"/>
      <c r="H54" s="32"/>
      <c r="I54" s="88">
        <v>254</v>
      </c>
      <c r="J54" s="89">
        <v>145</v>
      </c>
      <c r="K54" s="88"/>
      <c r="L54" s="32"/>
      <c r="M54" s="32"/>
      <c r="N54" s="33">
        <f t="shared" si="0"/>
        <v>399</v>
      </c>
      <c r="P54" s="17">
        <v>492</v>
      </c>
      <c r="Q54" s="17">
        <v>65</v>
      </c>
      <c r="R54" s="17"/>
      <c r="S54" s="17"/>
      <c r="T54" s="17">
        <v>32</v>
      </c>
      <c r="U54" s="121">
        <v>34</v>
      </c>
      <c r="V54" s="17"/>
      <c r="W54" s="17"/>
      <c r="X54" s="17"/>
      <c r="Y54" s="17"/>
      <c r="Z54" s="15">
        <f t="shared" si="8"/>
        <v>623</v>
      </c>
      <c r="AB54" s="23">
        <f t="shared" si="2"/>
        <v>-224</v>
      </c>
      <c r="AC54" s="62">
        <f t="shared" si="6"/>
        <v>-6.859083961172106</v>
      </c>
      <c r="AD54" s="23">
        <f t="shared" si="3"/>
        <v>-3660.4010645472254</v>
      </c>
    </row>
    <row r="55" spans="2:30" ht="13.5">
      <c r="B55" s="95">
        <f t="shared" si="10"/>
        <v>2056</v>
      </c>
      <c r="C55" s="16">
        <f t="shared" si="10"/>
        <v>79</v>
      </c>
      <c r="D55" s="16">
        <f t="shared" si="10"/>
        <v>77</v>
      </c>
      <c r="E55" s="37">
        <f t="shared" si="10"/>
        <v>46</v>
      </c>
      <c r="F55" s="16">
        <f t="shared" si="10"/>
        <v>43</v>
      </c>
      <c r="G55" s="31"/>
      <c r="H55" s="32"/>
      <c r="I55" s="88">
        <v>256</v>
      </c>
      <c r="J55" s="89">
        <v>147</v>
      </c>
      <c r="K55" s="88"/>
      <c r="L55" s="32"/>
      <c r="M55" s="32"/>
      <c r="N55" s="33">
        <f t="shared" si="0"/>
        <v>403</v>
      </c>
      <c r="P55" s="17">
        <v>496</v>
      </c>
      <c r="Q55" s="17">
        <v>65</v>
      </c>
      <c r="R55" s="17"/>
      <c r="S55" s="17"/>
      <c r="T55" s="17">
        <v>32</v>
      </c>
      <c r="U55" s="121">
        <v>35</v>
      </c>
      <c r="V55" s="17"/>
      <c r="W55" s="17"/>
      <c r="X55" s="17"/>
      <c r="Y55" s="17"/>
      <c r="Z55" s="15">
        <f t="shared" si="8"/>
        <v>628</v>
      </c>
      <c r="AB55" s="23">
        <f t="shared" si="2"/>
        <v>-225</v>
      </c>
      <c r="AC55" s="62">
        <f t="shared" si="6"/>
        <v>-7.320802129094451</v>
      </c>
      <c r="AD55" s="23">
        <f t="shared" si="3"/>
        <v>-3892.7218666763197</v>
      </c>
    </row>
    <row r="56" spans="2:30" ht="13.5">
      <c r="B56" s="95">
        <f t="shared" si="10"/>
        <v>2057</v>
      </c>
      <c r="C56" s="16">
        <f t="shared" si="10"/>
        <v>80</v>
      </c>
      <c r="D56" s="16">
        <f t="shared" si="10"/>
        <v>78</v>
      </c>
      <c r="E56" s="37">
        <f t="shared" si="10"/>
        <v>47</v>
      </c>
      <c r="F56" s="16">
        <f t="shared" si="10"/>
        <v>44</v>
      </c>
      <c r="G56" s="31"/>
      <c r="H56" s="32"/>
      <c r="I56" s="88">
        <v>259</v>
      </c>
      <c r="J56" s="89">
        <v>148</v>
      </c>
      <c r="K56" s="88"/>
      <c r="L56" s="32"/>
      <c r="M56" s="32"/>
      <c r="N56" s="33">
        <f t="shared" si="0"/>
        <v>407</v>
      </c>
      <c r="P56" s="17">
        <v>501</v>
      </c>
      <c r="Q56" s="17">
        <v>65</v>
      </c>
      <c r="R56" s="17"/>
      <c r="S56" s="17"/>
      <c r="T56" s="17">
        <v>32</v>
      </c>
      <c r="U56" s="121">
        <v>35</v>
      </c>
      <c r="V56" s="17"/>
      <c r="W56" s="17"/>
      <c r="X56" s="17"/>
      <c r="Y56" s="17"/>
      <c r="Z56" s="15">
        <f t="shared" si="8"/>
        <v>633</v>
      </c>
      <c r="AB56" s="23">
        <f t="shared" si="2"/>
        <v>-226</v>
      </c>
      <c r="AC56" s="62">
        <f t="shared" si="6"/>
        <v>-7.78544373335264</v>
      </c>
      <c r="AD56" s="23">
        <f t="shared" si="3"/>
        <v>-4126.507310409672</v>
      </c>
    </row>
    <row r="57" spans="2:30" ht="13.5">
      <c r="B57" s="95">
        <f t="shared" si="10"/>
        <v>2058</v>
      </c>
      <c r="C57" s="16"/>
      <c r="D57" s="16">
        <f t="shared" si="10"/>
        <v>79</v>
      </c>
      <c r="E57" s="37">
        <f t="shared" si="10"/>
        <v>48</v>
      </c>
      <c r="F57" s="16">
        <f t="shared" si="10"/>
        <v>45</v>
      </c>
      <c r="G57" s="31"/>
      <c r="H57" s="32"/>
      <c r="I57" s="88"/>
      <c r="J57" s="89">
        <v>149</v>
      </c>
      <c r="K57" s="88">
        <v>86</v>
      </c>
      <c r="L57" s="32"/>
      <c r="M57" s="32"/>
      <c r="N57" s="33">
        <f t="shared" si="0"/>
        <v>235</v>
      </c>
      <c r="P57" s="17">
        <v>405</v>
      </c>
      <c r="Q57" s="17">
        <v>65</v>
      </c>
      <c r="R57" s="17"/>
      <c r="S57" s="17"/>
      <c r="T57" s="17">
        <v>2</v>
      </c>
      <c r="U57" s="121">
        <v>36</v>
      </c>
      <c r="V57" s="17" t="s">
        <v>152</v>
      </c>
      <c r="W57" s="17"/>
      <c r="X57" s="17"/>
      <c r="Y57" s="17"/>
      <c r="Z57" s="15">
        <f t="shared" si="8"/>
        <v>508</v>
      </c>
      <c r="AB57" s="23">
        <f t="shared" si="2"/>
        <v>-273</v>
      </c>
      <c r="AC57" s="62">
        <f t="shared" si="6"/>
        <v>-8.253014620819345</v>
      </c>
      <c r="AD57" s="23">
        <f t="shared" si="3"/>
        <v>-4407.760325030491</v>
      </c>
    </row>
    <row r="58" spans="2:30" ht="13.5">
      <c r="B58" s="95">
        <f t="shared" si="10"/>
        <v>2059</v>
      </c>
      <c r="C58" s="16"/>
      <c r="D58" s="16">
        <f t="shared" si="10"/>
        <v>80</v>
      </c>
      <c r="E58" s="37">
        <f t="shared" si="10"/>
        <v>49</v>
      </c>
      <c r="F58" s="16">
        <f t="shared" si="10"/>
        <v>46</v>
      </c>
      <c r="G58" s="31"/>
      <c r="H58" s="32"/>
      <c r="I58" s="88"/>
      <c r="J58" s="89">
        <v>151</v>
      </c>
      <c r="K58" s="88">
        <v>87</v>
      </c>
      <c r="L58" s="32"/>
      <c r="M58" s="32"/>
      <c r="N58" s="33">
        <f t="shared" si="0"/>
        <v>238</v>
      </c>
      <c r="P58" s="17">
        <v>409</v>
      </c>
      <c r="Q58" s="17">
        <v>65</v>
      </c>
      <c r="R58" s="17"/>
      <c r="S58" s="17"/>
      <c r="T58" s="17">
        <v>2</v>
      </c>
      <c r="U58" s="121">
        <v>10</v>
      </c>
      <c r="V58" s="17">
        <v>474</v>
      </c>
      <c r="W58" s="17"/>
      <c r="X58" s="17"/>
      <c r="Y58" s="17"/>
      <c r="Z58" s="15">
        <f t="shared" si="8"/>
        <v>960</v>
      </c>
      <c r="AB58" s="23">
        <f t="shared" si="2"/>
        <v>-722</v>
      </c>
      <c r="AC58" s="62">
        <f t="shared" si="6"/>
        <v>-8.815520650060982</v>
      </c>
      <c r="AD58" s="23">
        <f t="shared" si="3"/>
        <v>-5138.5758456805515</v>
      </c>
    </row>
    <row r="59" spans="2:30" ht="13.5">
      <c r="B59" s="95">
        <f t="shared" si="10"/>
        <v>2060</v>
      </c>
      <c r="C59" s="16"/>
      <c r="D59" s="16">
        <f t="shared" si="10"/>
        <v>81</v>
      </c>
      <c r="E59" s="37">
        <f t="shared" si="10"/>
        <v>50</v>
      </c>
      <c r="F59" s="16">
        <f t="shared" si="10"/>
        <v>47</v>
      </c>
      <c r="G59" s="31"/>
      <c r="H59" s="32"/>
      <c r="I59" s="88"/>
      <c r="J59" s="89">
        <v>152</v>
      </c>
      <c r="K59" s="88">
        <v>88</v>
      </c>
      <c r="L59" s="32"/>
      <c r="M59" s="32"/>
      <c r="N59" s="33">
        <f t="shared" si="0"/>
        <v>240</v>
      </c>
      <c r="P59" s="17">
        <v>413</v>
      </c>
      <c r="Q59" s="17">
        <v>65</v>
      </c>
      <c r="R59" s="17"/>
      <c r="S59" s="17"/>
      <c r="T59" s="17">
        <v>2</v>
      </c>
      <c r="U59" s="121">
        <v>5</v>
      </c>
      <c r="V59" s="17"/>
      <c r="W59" s="17"/>
      <c r="X59" s="17"/>
      <c r="Y59" s="17"/>
      <c r="Z59" s="15">
        <f t="shared" si="8"/>
        <v>485</v>
      </c>
      <c r="AB59" s="23">
        <f t="shared" si="2"/>
        <v>-245</v>
      </c>
      <c r="AC59" s="62">
        <f t="shared" si="6"/>
        <v>-10.277151691361103</v>
      </c>
      <c r="AD59" s="23">
        <f t="shared" si="3"/>
        <v>-5393.852997371912</v>
      </c>
    </row>
    <row r="60" spans="2:30" ht="13.5">
      <c r="B60" s="95">
        <f t="shared" si="10"/>
        <v>2061</v>
      </c>
      <c r="C60" s="16"/>
      <c r="D60" s="16">
        <f t="shared" si="10"/>
        <v>82</v>
      </c>
      <c r="E60" s="37">
        <f t="shared" si="10"/>
        <v>51</v>
      </c>
      <c r="F60" s="16">
        <f t="shared" si="10"/>
        <v>48</v>
      </c>
      <c r="G60" s="31"/>
      <c r="H60" s="32"/>
      <c r="I60" s="88"/>
      <c r="J60" s="89">
        <v>154</v>
      </c>
      <c r="K60" s="88">
        <v>89</v>
      </c>
      <c r="L60" s="32"/>
      <c r="M60" s="32"/>
      <c r="N60" s="33">
        <f t="shared" si="0"/>
        <v>243</v>
      </c>
      <c r="P60" s="17">
        <v>417</v>
      </c>
      <c r="Q60" s="17">
        <v>65</v>
      </c>
      <c r="R60" s="17"/>
      <c r="S60" s="17"/>
      <c r="T60" s="17">
        <v>2</v>
      </c>
      <c r="U60" s="121">
        <v>5</v>
      </c>
      <c r="V60" s="17"/>
      <c r="W60" s="17"/>
      <c r="X60" s="17"/>
      <c r="Y60" s="17"/>
      <c r="Z60" s="15">
        <f t="shared" si="8"/>
        <v>489</v>
      </c>
      <c r="AB60" s="23">
        <f t="shared" si="2"/>
        <v>-246</v>
      </c>
      <c r="AC60" s="62">
        <f t="shared" si="6"/>
        <v>-10.787705994743824</v>
      </c>
      <c r="AD60" s="23">
        <f t="shared" si="3"/>
        <v>-5650.640703366656</v>
      </c>
    </row>
    <row r="61" spans="2:30" ht="13.5">
      <c r="B61" s="95">
        <f aca="true" t="shared" si="11" ref="B61:B66">B60+1</f>
        <v>2062</v>
      </c>
      <c r="C61" s="16"/>
      <c r="D61" s="16">
        <f aca="true" t="shared" si="12" ref="D61:F66">D60+1</f>
        <v>83</v>
      </c>
      <c r="E61" s="37">
        <f t="shared" si="12"/>
        <v>52</v>
      </c>
      <c r="F61" s="16">
        <f t="shared" si="12"/>
        <v>49</v>
      </c>
      <c r="G61" s="31"/>
      <c r="H61" s="32"/>
      <c r="I61" s="88"/>
      <c r="J61" s="89">
        <v>156</v>
      </c>
      <c r="K61" s="88">
        <v>90</v>
      </c>
      <c r="L61" s="32"/>
      <c r="M61" s="32"/>
      <c r="N61" s="33">
        <f t="shared" si="0"/>
        <v>246</v>
      </c>
      <c r="P61" s="17">
        <v>422</v>
      </c>
      <c r="Q61" s="17">
        <v>65</v>
      </c>
      <c r="R61" s="17"/>
      <c r="S61" s="17"/>
      <c r="T61" s="17">
        <v>2</v>
      </c>
      <c r="U61" s="121">
        <v>5</v>
      </c>
      <c r="V61" s="17"/>
      <c r="W61" s="17"/>
      <c r="X61" s="17"/>
      <c r="Y61" s="17"/>
      <c r="Z61" s="15">
        <f t="shared" si="8"/>
        <v>494</v>
      </c>
      <c r="AB61" s="23">
        <f t="shared" si="2"/>
        <v>-248</v>
      </c>
      <c r="AC61" s="62">
        <f t="shared" si="6"/>
        <v>-11.301281406733313</v>
      </c>
      <c r="AD61" s="23">
        <f t="shared" si="3"/>
        <v>-5909.94198477339</v>
      </c>
    </row>
    <row r="62" spans="2:30" ht="13.5">
      <c r="B62" s="95">
        <f t="shared" si="11"/>
        <v>2063</v>
      </c>
      <c r="C62" s="16"/>
      <c r="D62" s="16">
        <f t="shared" si="12"/>
        <v>84</v>
      </c>
      <c r="E62" s="37">
        <f t="shared" si="12"/>
        <v>53</v>
      </c>
      <c r="F62" s="16">
        <f t="shared" si="12"/>
        <v>50</v>
      </c>
      <c r="G62" s="31"/>
      <c r="H62" s="32"/>
      <c r="I62" s="88"/>
      <c r="J62" s="89">
        <v>157</v>
      </c>
      <c r="K62" s="88">
        <v>91</v>
      </c>
      <c r="L62" s="32"/>
      <c r="M62" s="32"/>
      <c r="N62" s="33">
        <f t="shared" si="0"/>
        <v>248</v>
      </c>
      <c r="P62" s="17">
        <v>426</v>
      </c>
      <c r="Q62" s="17">
        <v>65</v>
      </c>
      <c r="R62" s="17"/>
      <c r="S62" s="17"/>
      <c r="T62" s="17">
        <v>2</v>
      </c>
      <c r="U62" s="121">
        <v>5</v>
      </c>
      <c r="V62" s="17"/>
      <c r="W62" s="17"/>
      <c r="X62" s="17"/>
      <c r="Y62" s="17"/>
      <c r="Z62" s="15">
        <f t="shared" si="8"/>
        <v>498</v>
      </c>
      <c r="AB62" s="23">
        <f t="shared" si="2"/>
        <v>-250</v>
      </c>
      <c r="AC62" s="62">
        <f t="shared" si="6"/>
        <v>-11.81988396954678</v>
      </c>
      <c r="AD62" s="23">
        <f t="shared" si="3"/>
        <v>-6171.761868742937</v>
      </c>
    </row>
    <row r="63" spans="2:30" ht="13.5">
      <c r="B63" s="95">
        <f t="shared" si="11"/>
        <v>2064</v>
      </c>
      <c r="C63" s="16"/>
      <c r="D63" s="16">
        <f t="shared" si="12"/>
        <v>85</v>
      </c>
      <c r="E63" s="37">
        <f t="shared" si="12"/>
        <v>54</v>
      </c>
      <c r="F63" s="16">
        <f t="shared" si="12"/>
        <v>51</v>
      </c>
      <c r="G63" s="31"/>
      <c r="H63" s="32"/>
      <c r="I63" s="88"/>
      <c r="J63" s="89">
        <v>159</v>
      </c>
      <c r="K63" s="88">
        <v>92</v>
      </c>
      <c r="L63" s="32"/>
      <c r="M63" s="32"/>
      <c r="N63" s="33">
        <f t="shared" si="0"/>
        <v>251</v>
      </c>
      <c r="P63" s="17">
        <v>430</v>
      </c>
      <c r="Q63" s="17">
        <v>65</v>
      </c>
      <c r="R63" s="17"/>
      <c r="S63" s="17"/>
      <c r="T63" s="17">
        <v>2</v>
      </c>
      <c r="U63" s="121">
        <v>5</v>
      </c>
      <c r="V63" s="17"/>
      <c r="W63" s="17"/>
      <c r="X63" s="17"/>
      <c r="Y63" s="17"/>
      <c r="Z63" s="15">
        <f t="shared" si="8"/>
        <v>502</v>
      </c>
      <c r="AB63" s="23">
        <f t="shared" si="2"/>
        <v>-251</v>
      </c>
      <c r="AC63" s="62">
        <f t="shared" si="6"/>
        <v>-12.343523737485874</v>
      </c>
      <c r="AD63" s="23">
        <f t="shared" si="3"/>
        <v>-6435.105392480423</v>
      </c>
    </row>
    <row r="64" spans="2:30" ht="13.5">
      <c r="B64" s="95">
        <f t="shared" si="11"/>
        <v>2065</v>
      </c>
      <c r="C64" s="16"/>
      <c r="D64" s="16">
        <f t="shared" si="12"/>
        <v>86</v>
      </c>
      <c r="E64" s="37">
        <f t="shared" si="12"/>
        <v>55</v>
      </c>
      <c r="F64" s="16">
        <f t="shared" si="12"/>
        <v>52</v>
      </c>
      <c r="G64" s="31"/>
      <c r="H64" s="32"/>
      <c r="I64" s="88"/>
      <c r="J64" s="89">
        <v>160</v>
      </c>
      <c r="K64" s="88">
        <v>93</v>
      </c>
      <c r="L64" s="32"/>
      <c r="M64" s="32"/>
      <c r="N64" s="33">
        <f t="shared" si="0"/>
        <v>253</v>
      </c>
      <c r="P64" s="17">
        <v>434</v>
      </c>
      <c r="Q64" s="17">
        <v>65</v>
      </c>
      <c r="R64" s="17"/>
      <c r="S64" s="17"/>
      <c r="T64" s="17">
        <v>2</v>
      </c>
      <c r="U64" s="121">
        <v>5</v>
      </c>
      <c r="V64" s="17"/>
      <c r="W64" s="17"/>
      <c r="X64" s="17"/>
      <c r="Y64" s="17"/>
      <c r="Z64" s="15">
        <f t="shared" si="8"/>
        <v>506</v>
      </c>
      <c r="AB64" s="23">
        <f t="shared" si="2"/>
        <v>-253</v>
      </c>
      <c r="AC64" s="62">
        <f t="shared" si="6"/>
        <v>-12.870210784960847</v>
      </c>
      <c r="AD64" s="23">
        <f t="shared" si="3"/>
        <v>-6700.975603265384</v>
      </c>
    </row>
    <row r="65" spans="2:30" ht="13.5">
      <c r="B65" s="95">
        <f t="shared" si="11"/>
        <v>2066</v>
      </c>
      <c r="C65" s="16"/>
      <c r="D65" s="16">
        <f t="shared" si="12"/>
        <v>87</v>
      </c>
      <c r="E65" s="37">
        <f t="shared" si="12"/>
        <v>56</v>
      </c>
      <c r="F65" s="16">
        <f t="shared" si="12"/>
        <v>53</v>
      </c>
      <c r="G65" s="31"/>
      <c r="H65" s="32"/>
      <c r="I65" s="88"/>
      <c r="J65" s="89">
        <v>162</v>
      </c>
      <c r="K65" s="88">
        <v>94</v>
      </c>
      <c r="L65" s="32"/>
      <c r="M65" s="32"/>
      <c r="N65" s="33">
        <f t="shared" si="0"/>
        <v>256</v>
      </c>
      <c r="P65" s="17">
        <v>439</v>
      </c>
      <c r="Q65" s="17">
        <v>65</v>
      </c>
      <c r="R65" s="17"/>
      <c r="S65" s="17"/>
      <c r="T65" s="17">
        <v>2</v>
      </c>
      <c r="U65" s="121">
        <v>5</v>
      </c>
      <c r="V65" s="17"/>
      <c r="W65" s="17"/>
      <c r="X65" s="17"/>
      <c r="Y65" s="17"/>
      <c r="Z65" s="15">
        <f t="shared" si="8"/>
        <v>511</v>
      </c>
      <c r="AB65" s="23">
        <f t="shared" si="2"/>
        <v>-255</v>
      </c>
      <c r="AC65" s="62">
        <f t="shared" si="6"/>
        <v>-13.401951206530768</v>
      </c>
      <c r="AD65" s="23">
        <f t="shared" si="3"/>
        <v>-6969.377554471915</v>
      </c>
    </row>
    <row r="66" spans="2:31" ht="18.75" customHeight="1">
      <c r="B66" s="95">
        <f t="shared" si="11"/>
        <v>2067</v>
      </c>
      <c r="C66" s="16"/>
      <c r="D66" s="16"/>
      <c r="E66" s="38">
        <f t="shared" si="12"/>
        <v>57</v>
      </c>
      <c r="F66" s="18">
        <f t="shared" si="12"/>
        <v>54</v>
      </c>
      <c r="G66" s="34"/>
      <c r="H66" s="35"/>
      <c r="I66" s="35"/>
      <c r="J66" s="35"/>
      <c r="K66" s="35"/>
      <c r="L66" s="35"/>
      <c r="M66" s="35"/>
      <c r="N66" s="36" t="s">
        <v>31</v>
      </c>
      <c r="P66" s="12"/>
      <c r="Q66" s="12"/>
      <c r="R66" s="12"/>
      <c r="S66" s="12"/>
      <c r="T66" s="17"/>
      <c r="U66" s="12"/>
      <c r="V66" s="17">
        <v>519</v>
      </c>
      <c r="W66" s="12"/>
      <c r="X66" s="12"/>
      <c r="Y66" s="12"/>
      <c r="Z66" s="15">
        <f t="shared" si="8"/>
        <v>519</v>
      </c>
      <c r="AB66" s="64">
        <v>-519</v>
      </c>
      <c r="AC66" s="65">
        <v>-27</v>
      </c>
      <c r="AD66" s="64">
        <f t="shared" si="3"/>
        <v>-7515.377554471915</v>
      </c>
      <c r="AE66" s="66"/>
    </row>
    <row r="67" spans="2:14" ht="4.5" customHeight="1">
      <c r="B67" s="19"/>
      <c r="C67" s="20"/>
      <c r="D67" s="20"/>
      <c r="E67" s="20"/>
      <c r="F67" s="20"/>
      <c r="G67" s="21"/>
      <c r="H67" s="22"/>
      <c r="I67" s="22"/>
      <c r="J67" s="22"/>
      <c r="K67" s="22"/>
      <c r="L67" s="22"/>
      <c r="M67" s="22"/>
      <c r="N67" s="22"/>
    </row>
    <row r="68" spans="2:30" ht="13.5">
      <c r="B68" s="123" t="s">
        <v>30</v>
      </c>
      <c r="C68" s="123"/>
      <c r="D68" s="123"/>
      <c r="E68" s="123"/>
      <c r="F68" s="123"/>
      <c r="G68" s="14">
        <f>SUM(G11:G66)</f>
        <v>51545.05957442513</v>
      </c>
      <c r="H68" s="14">
        <f aca="true" t="shared" si="13" ref="H68:Z68">SUM(H11:H66)</f>
        <v>9614</v>
      </c>
      <c r="I68" s="14">
        <f t="shared" si="13"/>
        <v>3846</v>
      </c>
      <c r="J68" s="14">
        <f t="shared" si="13"/>
        <v>3344</v>
      </c>
      <c r="K68" s="14">
        <f t="shared" si="13"/>
        <v>810</v>
      </c>
      <c r="L68" s="14">
        <f t="shared" si="13"/>
        <v>0</v>
      </c>
      <c r="M68" s="14">
        <f t="shared" si="13"/>
        <v>8060</v>
      </c>
      <c r="N68" s="14">
        <f t="shared" si="13"/>
        <v>77219.05957442513</v>
      </c>
      <c r="O68" s="26"/>
      <c r="P68" s="14">
        <f t="shared" si="13"/>
        <v>28128</v>
      </c>
      <c r="Q68" s="14">
        <f t="shared" si="13"/>
        <v>9935</v>
      </c>
      <c r="R68" s="14">
        <f t="shared" si="13"/>
        <v>7999.209415815257</v>
      </c>
      <c r="S68" s="14">
        <f t="shared" si="13"/>
        <v>2975</v>
      </c>
      <c r="T68" s="14">
        <f t="shared" si="13"/>
        <v>3457</v>
      </c>
      <c r="U68" s="14">
        <f t="shared" si="13"/>
        <v>20220</v>
      </c>
      <c r="V68" s="14">
        <f t="shared" si="13"/>
        <v>993</v>
      </c>
      <c r="W68" s="14">
        <f t="shared" si="13"/>
        <v>374</v>
      </c>
      <c r="X68" s="14">
        <f t="shared" si="13"/>
        <v>2824.3199501723357</v>
      </c>
      <c r="Y68" s="14" t="s">
        <v>99</v>
      </c>
      <c r="Z68" s="14">
        <f t="shared" si="13"/>
        <v>85585.5293659876</v>
      </c>
      <c r="AA68" s="26"/>
      <c r="AB68" s="10"/>
      <c r="AC68" s="10"/>
      <c r="AD68" s="25"/>
    </row>
  </sheetData>
  <sheetProtection/>
  <mergeCells count="8">
    <mergeCell ref="AB10:AD10"/>
    <mergeCell ref="B68:F68"/>
    <mergeCell ref="B6:D8"/>
    <mergeCell ref="E6:F6"/>
    <mergeCell ref="E7:F7"/>
    <mergeCell ref="E8:F8"/>
    <mergeCell ref="G10:M10"/>
    <mergeCell ref="P10:X10"/>
  </mergeCells>
  <printOptions/>
  <pageMargins left="0.7" right="0.7" top="0.75" bottom="0.75" header="0.3" footer="0.3"/>
  <pageSetup horizontalDpi="600" verticalDpi="600" orientation="portrait" paperSize="9" scale="1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81"/>
  <sheetViews>
    <sheetView zoomScalePageLayoutView="0" workbookViewId="0" topLeftCell="A10">
      <selection activeCell="J22" sqref="J22"/>
    </sheetView>
  </sheetViews>
  <sheetFormatPr defaultColWidth="9.140625" defaultRowHeight="15"/>
  <cols>
    <col min="3" max="3" width="14.7109375" style="0" customWidth="1"/>
    <col min="4" max="4" width="7.00390625" style="0" customWidth="1"/>
    <col min="5" max="6" width="10.28125" style="0" bestFit="1" customWidth="1"/>
    <col min="7" max="7" width="10.28125" style="0" customWidth="1"/>
  </cols>
  <sheetData>
    <row r="4" spans="3:7" ht="27">
      <c r="C4" s="97"/>
      <c r="D4" s="98" t="s">
        <v>100</v>
      </c>
      <c r="E4" s="97" t="s">
        <v>149</v>
      </c>
      <c r="F4" s="97" t="s">
        <v>150</v>
      </c>
      <c r="G4" s="97" t="s">
        <v>151</v>
      </c>
    </row>
    <row r="5" spans="3:7" ht="13.5">
      <c r="C5" s="97" t="s">
        <v>101</v>
      </c>
      <c r="D5" s="99"/>
      <c r="E5" s="100">
        <v>237</v>
      </c>
      <c r="F5" s="100">
        <v>237</v>
      </c>
      <c r="G5" s="100">
        <v>237</v>
      </c>
    </row>
    <row r="6" spans="3:7" ht="13.5">
      <c r="C6" s="97" t="s">
        <v>102</v>
      </c>
      <c r="D6" s="99"/>
      <c r="E6" s="101">
        <v>30</v>
      </c>
      <c r="F6" s="100">
        <v>40</v>
      </c>
      <c r="G6" s="100">
        <v>45</v>
      </c>
    </row>
    <row r="7" spans="3:7" ht="13.5">
      <c r="C7" s="97" t="s">
        <v>103</v>
      </c>
      <c r="D7" s="99"/>
      <c r="E7" s="101">
        <f>E5*E6</f>
        <v>7110</v>
      </c>
      <c r="F7" s="101">
        <f>F5*F6</f>
        <v>9480</v>
      </c>
      <c r="G7" s="101">
        <f>G5*G6</f>
        <v>10665</v>
      </c>
    </row>
    <row r="8" spans="3:7" ht="13.5">
      <c r="C8" s="97" t="s">
        <v>104</v>
      </c>
      <c r="D8" s="102" t="s">
        <v>148</v>
      </c>
      <c r="E8" s="101">
        <v>5500</v>
      </c>
      <c r="F8" s="101">
        <v>5500</v>
      </c>
      <c r="G8" s="101">
        <v>5500</v>
      </c>
    </row>
    <row r="9" spans="3:7" ht="13.5">
      <c r="C9" s="97" t="s">
        <v>105</v>
      </c>
      <c r="D9" s="99"/>
      <c r="E9" s="103">
        <f>E7*E8</f>
        <v>39105000</v>
      </c>
      <c r="F9" s="103">
        <f>F7*F8</f>
        <v>52140000</v>
      </c>
      <c r="G9" s="103">
        <f>G7*G8</f>
        <v>58657500</v>
      </c>
    </row>
    <row r="10" spans="3:7" ht="13.5">
      <c r="C10" s="97"/>
      <c r="D10" s="99"/>
      <c r="E10" s="104"/>
      <c r="F10" s="104"/>
      <c r="G10" s="104"/>
    </row>
    <row r="11" spans="3:7" ht="13.5">
      <c r="C11" s="97" t="s">
        <v>106</v>
      </c>
      <c r="D11" s="102">
        <v>0.088</v>
      </c>
      <c r="E11" s="105">
        <f>E9*D11</f>
        <v>3441240</v>
      </c>
      <c r="F11" s="105">
        <f>F9*8.8%</f>
        <v>4588320</v>
      </c>
      <c r="G11" s="105">
        <f>G9*8.8%</f>
        <v>5161860.000000001</v>
      </c>
    </row>
    <row r="12" spans="3:7" ht="13.5">
      <c r="C12" s="97" t="s">
        <v>107</v>
      </c>
      <c r="D12" s="102">
        <v>0.04</v>
      </c>
      <c r="E12" s="105">
        <f>E9*D12</f>
        <v>1564200</v>
      </c>
      <c r="F12" s="105">
        <f>F9*4%</f>
        <v>2085600</v>
      </c>
      <c r="G12" s="105">
        <f>G9*4%</f>
        <v>2346300</v>
      </c>
    </row>
    <row r="13" spans="3:7" ht="13.5">
      <c r="C13" s="97" t="s">
        <v>108</v>
      </c>
      <c r="D13" s="99"/>
      <c r="E13" s="106">
        <f>E11+E12</f>
        <v>5005440</v>
      </c>
      <c r="F13" s="106">
        <f>F11+F12</f>
        <v>6673920</v>
      </c>
      <c r="G13" s="106">
        <f>G11+G12</f>
        <v>7508160.000000001</v>
      </c>
    </row>
    <row r="14" spans="3:7" ht="13.5">
      <c r="C14" s="97"/>
      <c r="D14" s="99"/>
      <c r="E14" s="104" t="s">
        <v>148</v>
      </c>
      <c r="F14" s="104"/>
      <c r="G14" s="104"/>
    </row>
    <row r="15" spans="3:7" ht="13.5">
      <c r="C15" s="97" t="s">
        <v>109</v>
      </c>
      <c r="D15" s="99"/>
      <c r="E15" s="106">
        <f>E9-E13</f>
        <v>34099560</v>
      </c>
      <c r="F15" s="106">
        <f>F9-F13</f>
        <v>45466080</v>
      </c>
      <c r="G15" s="106">
        <f>G9-G13</f>
        <v>51149340</v>
      </c>
    </row>
    <row r="16" spans="3:7" ht="13.5">
      <c r="C16" s="97" t="s">
        <v>110</v>
      </c>
      <c r="D16" s="107">
        <v>0.01</v>
      </c>
      <c r="E16" s="105">
        <v>11500000</v>
      </c>
      <c r="F16" s="104">
        <f>E16*101%</f>
        <v>11615000</v>
      </c>
      <c r="G16" s="104">
        <f>F16*101%</f>
        <v>11731150</v>
      </c>
    </row>
    <row r="17" spans="3:7" ht="13.5">
      <c r="C17" s="97" t="s">
        <v>111</v>
      </c>
      <c r="D17" s="99"/>
      <c r="E17" s="105">
        <v>6000000</v>
      </c>
      <c r="F17" s="105">
        <v>6000000</v>
      </c>
      <c r="G17" s="105">
        <v>6000000</v>
      </c>
    </row>
    <row r="18" spans="3:7" ht="13.5">
      <c r="C18" s="97" t="s">
        <v>112</v>
      </c>
      <c r="D18" s="99"/>
      <c r="E18" s="105">
        <v>2400000</v>
      </c>
      <c r="F18" s="105">
        <v>2400000</v>
      </c>
      <c r="G18" s="105">
        <v>2400000</v>
      </c>
    </row>
    <row r="19" spans="3:7" ht="13.5">
      <c r="C19" s="100" t="s">
        <v>113</v>
      </c>
      <c r="D19" s="99"/>
      <c r="E19" s="108">
        <v>3139000</v>
      </c>
      <c r="F19" s="108">
        <v>3139000</v>
      </c>
      <c r="G19" s="108">
        <v>3139000</v>
      </c>
    </row>
    <row r="20" spans="3:7" ht="13.5">
      <c r="C20" s="97" t="s">
        <v>114</v>
      </c>
      <c r="D20" s="107">
        <v>0.01</v>
      </c>
      <c r="E20" s="105">
        <v>1057000</v>
      </c>
      <c r="F20" s="105">
        <f aca="true" t="shared" si="0" ref="F20:G27">E20*101%</f>
        <v>1067570</v>
      </c>
      <c r="G20" s="105">
        <f t="shared" si="0"/>
        <v>1078245.7</v>
      </c>
    </row>
    <row r="21" spans="3:7" ht="13.5">
      <c r="C21" s="97" t="s">
        <v>115</v>
      </c>
      <c r="D21" s="107">
        <v>0.01</v>
      </c>
      <c r="E21" s="105">
        <f>E9*0.8%</f>
        <v>312840</v>
      </c>
      <c r="F21" s="105">
        <f t="shared" si="0"/>
        <v>315968.4</v>
      </c>
      <c r="G21" s="105">
        <f t="shared" si="0"/>
        <v>319128.08400000003</v>
      </c>
    </row>
    <row r="22" spans="3:7" ht="13.5">
      <c r="C22" s="97" t="s">
        <v>116</v>
      </c>
      <c r="D22" s="107">
        <v>0.01</v>
      </c>
      <c r="E22" s="105">
        <v>378000</v>
      </c>
      <c r="F22" s="105">
        <f t="shared" si="0"/>
        <v>381780</v>
      </c>
      <c r="G22" s="105">
        <f t="shared" si="0"/>
        <v>385597.8</v>
      </c>
    </row>
    <row r="23" spans="3:7" ht="13.5">
      <c r="C23" s="97" t="s">
        <v>117</v>
      </c>
      <c r="D23" s="102">
        <v>0.009</v>
      </c>
      <c r="E23" s="105">
        <f>E9*0.9%</f>
        <v>351945.00000000006</v>
      </c>
      <c r="F23" s="105">
        <f t="shared" si="0"/>
        <v>355464.45000000007</v>
      </c>
      <c r="G23" s="105">
        <f t="shared" si="0"/>
        <v>359019.09450000006</v>
      </c>
    </row>
    <row r="24" spans="3:7" ht="13.5">
      <c r="C24" s="97" t="s">
        <v>118</v>
      </c>
      <c r="D24" s="107">
        <v>0.01</v>
      </c>
      <c r="E24" s="105"/>
      <c r="F24" s="105"/>
      <c r="G24" s="105"/>
    </row>
    <row r="25" spans="3:7" ht="13.5">
      <c r="C25" s="97" t="s">
        <v>119</v>
      </c>
      <c r="D25" s="107" t="s">
        <v>148</v>
      </c>
      <c r="E25" s="105"/>
      <c r="F25" s="105"/>
      <c r="G25" s="105"/>
    </row>
    <row r="26" spans="3:7" ht="13.5">
      <c r="C26" s="97" t="s">
        <v>120</v>
      </c>
      <c r="D26" s="107">
        <v>0.01</v>
      </c>
      <c r="E26" s="105">
        <v>151000</v>
      </c>
      <c r="F26" s="105">
        <f t="shared" si="0"/>
        <v>152510</v>
      </c>
      <c r="G26" s="105">
        <f t="shared" si="0"/>
        <v>154035.1</v>
      </c>
    </row>
    <row r="27" spans="3:7" ht="13.5">
      <c r="C27" s="97" t="s">
        <v>121</v>
      </c>
      <c r="D27" s="107">
        <v>0.01</v>
      </c>
      <c r="E27" s="105">
        <v>1000000</v>
      </c>
      <c r="F27" s="105">
        <f t="shared" si="0"/>
        <v>1010000</v>
      </c>
      <c r="G27" s="105">
        <f t="shared" si="0"/>
        <v>1020100</v>
      </c>
    </row>
    <row r="28" spans="3:7" ht="13.5">
      <c r="C28" s="97" t="s">
        <v>122</v>
      </c>
      <c r="D28" s="99"/>
      <c r="E28" s="105">
        <f>SUM(E17:E27)</f>
        <v>14789785</v>
      </c>
      <c r="F28" s="105">
        <f>SUM(F17:F27)</f>
        <v>14822292.85</v>
      </c>
      <c r="G28" s="105">
        <f>SUM(G17:G27)</f>
        <v>14855125.7785</v>
      </c>
    </row>
    <row r="29" spans="3:7" ht="13.5">
      <c r="C29" s="97" t="s">
        <v>123</v>
      </c>
      <c r="D29" s="99"/>
      <c r="E29" s="105">
        <f>E16+E28</f>
        <v>26289785</v>
      </c>
      <c r="F29" s="105">
        <f>F16+F28</f>
        <v>26437292.85</v>
      </c>
      <c r="G29" s="105">
        <f>G16+G28</f>
        <v>26586275.7785</v>
      </c>
    </row>
    <row r="30" spans="3:7" ht="13.5">
      <c r="C30" s="97"/>
      <c r="D30" s="99"/>
      <c r="E30" s="105"/>
      <c r="F30" s="105"/>
      <c r="G30" s="105"/>
    </row>
    <row r="31" spans="3:7" ht="13.5">
      <c r="C31" s="97" t="s">
        <v>124</v>
      </c>
      <c r="D31" s="99"/>
      <c r="E31" s="106">
        <f>E15-E29</f>
        <v>7809775</v>
      </c>
      <c r="F31" s="106">
        <f>F15-F29</f>
        <v>19028787.15</v>
      </c>
      <c r="G31" s="106">
        <f>G15-G29</f>
        <v>24563064.2215</v>
      </c>
    </row>
    <row r="32" spans="3:7" ht="13.5">
      <c r="C32" s="97" t="s">
        <v>148</v>
      </c>
      <c r="D32" s="99"/>
      <c r="E32" s="104"/>
      <c r="F32" s="104"/>
      <c r="G32" s="104"/>
    </row>
    <row r="33" spans="3:7" ht="13.5">
      <c r="C33" s="97" t="s">
        <v>125</v>
      </c>
      <c r="D33" s="99"/>
      <c r="E33" s="105">
        <v>937000</v>
      </c>
      <c r="F33" s="105">
        <v>886000</v>
      </c>
      <c r="G33" s="105">
        <v>837000</v>
      </c>
    </row>
    <row r="34" spans="3:7" ht="13.5">
      <c r="C34" s="97"/>
      <c r="D34" s="99"/>
      <c r="E34" s="104"/>
      <c r="F34" s="104"/>
      <c r="G34" s="104"/>
    </row>
    <row r="35" spans="3:7" ht="13.5">
      <c r="C35" s="97" t="s">
        <v>126</v>
      </c>
      <c r="D35" s="99"/>
      <c r="E35" s="109">
        <f>E31-E33</f>
        <v>6872775</v>
      </c>
      <c r="F35" s="109">
        <f>F31-F33</f>
        <v>18142787.15</v>
      </c>
      <c r="G35" s="109">
        <f>G31-G33</f>
        <v>23726064.2215</v>
      </c>
    </row>
    <row r="36" spans="3:7" ht="13.5">
      <c r="C36" s="97"/>
      <c r="D36" s="99"/>
      <c r="E36" s="104"/>
      <c r="F36" s="104"/>
      <c r="G36" s="104"/>
    </row>
    <row r="37" spans="3:7" ht="13.5">
      <c r="C37" s="97" t="s">
        <v>127</v>
      </c>
      <c r="D37" s="99"/>
      <c r="E37" s="109">
        <f>E35-E38</f>
        <v>6872775</v>
      </c>
      <c r="F37" s="109">
        <f>F35-F38</f>
        <v>13342787.149999999</v>
      </c>
      <c r="G37" s="109">
        <f>G35-G38</f>
        <v>18926064.2215</v>
      </c>
    </row>
    <row r="38" spans="3:7" ht="13.5">
      <c r="C38" s="97" t="s">
        <v>128</v>
      </c>
      <c r="D38" s="99"/>
      <c r="E38" s="103">
        <v>0</v>
      </c>
      <c r="F38" s="103">
        <v>4800000</v>
      </c>
      <c r="G38" s="103">
        <v>4800000</v>
      </c>
    </row>
    <row r="39" spans="3:7" ht="13.5">
      <c r="C39" s="97"/>
      <c r="D39" s="99"/>
      <c r="E39" s="104"/>
      <c r="F39" s="104"/>
      <c r="G39" s="104"/>
    </row>
    <row r="40" spans="3:7" ht="13.5">
      <c r="C40" s="97" t="s">
        <v>129</v>
      </c>
      <c r="D40" s="99"/>
      <c r="E40" s="105">
        <v>600000</v>
      </c>
      <c r="F40" s="105">
        <v>600000</v>
      </c>
      <c r="G40" s="105">
        <v>600000</v>
      </c>
    </row>
    <row r="41" spans="3:7" ht="13.5">
      <c r="C41" s="97" t="s">
        <v>130</v>
      </c>
      <c r="D41" s="99"/>
      <c r="E41" s="110">
        <v>360000</v>
      </c>
      <c r="F41" s="111">
        <v>180000</v>
      </c>
      <c r="G41" s="111">
        <v>180000</v>
      </c>
    </row>
    <row r="42" spans="3:7" ht="13.5">
      <c r="C42" s="97"/>
      <c r="D42" s="99"/>
      <c r="E42" s="111"/>
      <c r="F42" s="111"/>
      <c r="G42" s="111"/>
    </row>
    <row r="43" spans="3:7" ht="13.5">
      <c r="C43" s="97" t="s">
        <v>131</v>
      </c>
      <c r="D43" s="99"/>
      <c r="E43" s="111">
        <v>380000</v>
      </c>
      <c r="F43" s="111">
        <v>380000</v>
      </c>
      <c r="G43" s="111">
        <v>380000</v>
      </c>
    </row>
    <row r="44" spans="3:7" ht="13.5">
      <c r="C44" s="97" t="s">
        <v>132</v>
      </c>
      <c r="D44" s="99"/>
      <c r="E44" s="112">
        <v>650000</v>
      </c>
      <c r="F44" s="112">
        <v>650000</v>
      </c>
      <c r="G44" s="112">
        <v>650000</v>
      </c>
    </row>
    <row r="45" spans="3:7" ht="13.5">
      <c r="C45" s="97" t="s">
        <v>133</v>
      </c>
      <c r="D45" s="99"/>
      <c r="E45" s="111">
        <v>0</v>
      </c>
      <c r="F45" s="111">
        <v>0</v>
      </c>
      <c r="G45" s="111">
        <v>0</v>
      </c>
    </row>
    <row r="46" spans="3:7" ht="13.5">
      <c r="C46" s="97" t="s">
        <v>134</v>
      </c>
      <c r="D46" s="99"/>
      <c r="E46" s="111">
        <v>50000</v>
      </c>
      <c r="F46" s="111">
        <v>50000</v>
      </c>
      <c r="G46" s="111">
        <v>50000</v>
      </c>
    </row>
    <row r="47" spans="3:7" ht="13.5">
      <c r="C47" s="97" t="s">
        <v>135</v>
      </c>
      <c r="D47" s="99"/>
      <c r="E47" s="112"/>
      <c r="F47" s="112"/>
      <c r="G47" s="112"/>
    </row>
    <row r="48" spans="3:7" ht="13.5">
      <c r="C48" s="97" t="s">
        <v>136</v>
      </c>
      <c r="D48" s="99"/>
      <c r="E48" s="113">
        <f>SUM(E40:E46)</f>
        <v>2040000</v>
      </c>
      <c r="F48" s="113">
        <f>SUM(F40:F46)</f>
        <v>1860000</v>
      </c>
      <c r="G48" s="113">
        <f>SUM(G40:G46)</f>
        <v>1860000</v>
      </c>
    </row>
    <row r="49" spans="3:7" ht="13.5">
      <c r="C49" s="97" t="s">
        <v>137</v>
      </c>
      <c r="D49" s="99"/>
      <c r="E49" s="113">
        <f>E37-E48</f>
        <v>4832775</v>
      </c>
      <c r="F49" s="113">
        <f>F37-F48</f>
        <v>11482787.149999999</v>
      </c>
      <c r="G49" s="113">
        <f>G37-G48</f>
        <v>17066064.2215</v>
      </c>
    </row>
    <row r="50" spans="3:7" ht="13.5">
      <c r="C50" s="97"/>
      <c r="D50" s="99"/>
      <c r="E50" s="112"/>
      <c r="F50" s="112"/>
      <c r="G50" s="112"/>
    </row>
    <row r="51" spans="3:7" ht="13.5">
      <c r="C51" s="97" t="s">
        <v>138</v>
      </c>
      <c r="D51" s="107" t="s">
        <v>148</v>
      </c>
      <c r="E51" s="110">
        <f>E49*20%-427500</f>
        <v>539055</v>
      </c>
      <c r="F51" s="111">
        <f>F49*33%-1536000</f>
        <v>2253319.7594999997</v>
      </c>
      <c r="G51" s="111">
        <f>G49*33%-1536000</f>
        <v>4095801.1930950005</v>
      </c>
    </row>
    <row r="52" spans="3:7" ht="13.5">
      <c r="C52" s="97" t="s">
        <v>139</v>
      </c>
      <c r="D52" s="107"/>
      <c r="E52" s="105">
        <v>-429500</v>
      </c>
      <c r="F52" s="105">
        <v>-418600</v>
      </c>
      <c r="G52" s="105">
        <v>-407400</v>
      </c>
    </row>
    <row r="53" spans="3:7" ht="13.5">
      <c r="C53" s="97" t="s">
        <v>140</v>
      </c>
      <c r="D53" s="107">
        <v>0.1</v>
      </c>
      <c r="E53" s="105">
        <v>1300000</v>
      </c>
      <c r="F53" s="105">
        <f>E49*D53</f>
        <v>483277.5</v>
      </c>
      <c r="G53" s="105">
        <f>F49*10%</f>
        <v>1148278.7149999999</v>
      </c>
    </row>
    <row r="54" spans="3:7" ht="13.5">
      <c r="C54" s="97"/>
      <c r="D54" s="107"/>
      <c r="E54" s="105"/>
      <c r="F54" s="105"/>
      <c r="G54" s="105"/>
    </row>
    <row r="55" spans="3:7" ht="13.5">
      <c r="C55" s="97" t="s">
        <v>141</v>
      </c>
      <c r="D55" s="107"/>
      <c r="E55" s="114">
        <f>E49-(E51-E52)-F53</f>
        <v>3380942.5</v>
      </c>
      <c r="F55" s="113">
        <f>F49-(F51-F52)-G53</f>
        <v>7662588.675499998</v>
      </c>
      <c r="G55" s="113">
        <f>G49-(G51-G52)-H53</f>
        <v>12562863.028405001</v>
      </c>
    </row>
    <row r="56" spans="3:7" ht="4.5" customHeight="1">
      <c r="C56" s="97"/>
      <c r="D56" s="99"/>
      <c r="E56" s="104"/>
      <c r="F56" s="104"/>
      <c r="G56" s="104"/>
    </row>
    <row r="57" spans="3:7" ht="13.5">
      <c r="C57" s="97" t="s">
        <v>142</v>
      </c>
      <c r="D57" s="99"/>
      <c r="E57" s="106">
        <v>2389992</v>
      </c>
      <c r="F57" s="106">
        <v>2389992</v>
      </c>
      <c r="G57" s="106">
        <v>2389992</v>
      </c>
    </row>
    <row r="58" spans="3:7" ht="13.5">
      <c r="C58" s="97" t="s">
        <v>143</v>
      </c>
      <c r="D58" s="99"/>
      <c r="E58" s="106">
        <f>-E19</f>
        <v>-3139000</v>
      </c>
      <c r="F58" s="106">
        <f>-F19</f>
        <v>-3139000</v>
      </c>
      <c r="G58" s="106">
        <f>-G19</f>
        <v>-3139000</v>
      </c>
    </row>
    <row r="59" spans="3:7" ht="3" customHeight="1">
      <c r="C59" s="97"/>
      <c r="D59" s="99"/>
      <c r="E59" s="106"/>
      <c r="F59" s="106"/>
      <c r="G59" s="106"/>
    </row>
    <row r="60" spans="3:7" ht="13.5">
      <c r="C60" s="100" t="s">
        <v>144</v>
      </c>
      <c r="D60" s="104"/>
      <c r="E60" s="114">
        <f>E55-E57-E58</f>
        <v>4129950.5</v>
      </c>
      <c r="F60" s="113">
        <f>F55-F57-F58</f>
        <v>8411596.675499998</v>
      </c>
      <c r="G60" s="113">
        <f>G55-G57-G58</f>
        <v>13311871.028405001</v>
      </c>
    </row>
    <row r="61" spans="3:7" ht="13.5">
      <c r="C61" s="100"/>
      <c r="D61" s="104"/>
      <c r="E61" s="106"/>
      <c r="F61" s="106"/>
      <c r="G61" s="106"/>
    </row>
    <row r="62" spans="3:7" ht="13.5">
      <c r="C62" s="100" t="s">
        <v>145</v>
      </c>
      <c r="D62" s="99"/>
      <c r="E62" s="115">
        <v>0</v>
      </c>
      <c r="F62" s="115">
        <v>4800000</v>
      </c>
      <c r="G62" s="115">
        <v>4800000</v>
      </c>
    </row>
    <row r="63" spans="3:7" ht="13.5">
      <c r="C63" s="97"/>
      <c r="D63" s="99"/>
      <c r="E63" s="104"/>
      <c r="F63" s="104"/>
      <c r="G63" s="104"/>
    </row>
    <row r="64" spans="3:7" ht="13.5">
      <c r="C64" s="97" t="s">
        <v>129</v>
      </c>
      <c r="D64" s="99"/>
      <c r="E64" s="104"/>
      <c r="F64" s="104"/>
      <c r="G64" s="104"/>
    </row>
    <row r="65" spans="3:7" ht="13.5">
      <c r="C65" s="97" t="s">
        <v>130</v>
      </c>
      <c r="D65" s="116" t="s">
        <v>148</v>
      </c>
      <c r="E65" s="117"/>
      <c r="F65" s="105">
        <v>180000</v>
      </c>
      <c r="G65" s="105">
        <v>180000</v>
      </c>
    </row>
    <row r="66" spans="3:7" ht="13.5">
      <c r="C66" s="97" t="s">
        <v>131</v>
      </c>
      <c r="D66" s="99"/>
      <c r="E66" s="105"/>
      <c r="F66" s="105">
        <v>380000</v>
      </c>
      <c r="G66" s="105">
        <v>380000</v>
      </c>
    </row>
    <row r="67" spans="3:7" ht="13.5">
      <c r="C67" s="97" t="s">
        <v>134</v>
      </c>
      <c r="D67" s="99"/>
      <c r="E67" s="105"/>
      <c r="F67" s="105">
        <v>50000</v>
      </c>
      <c r="G67" s="105">
        <v>50000</v>
      </c>
    </row>
    <row r="68" spans="3:7" ht="13.5">
      <c r="C68" s="97" t="s">
        <v>148</v>
      </c>
      <c r="D68" s="99"/>
      <c r="E68" s="104"/>
      <c r="F68" s="104"/>
      <c r="G68" s="104"/>
    </row>
    <row r="69" spans="3:7" ht="13.5">
      <c r="C69" s="97" t="s">
        <v>136</v>
      </c>
      <c r="D69" s="99"/>
      <c r="E69" s="106"/>
      <c r="F69" s="106">
        <f>F65+F66+F67</f>
        <v>610000</v>
      </c>
      <c r="G69" s="106">
        <f>G65+G66+G67</f>
        <v>610000</v>
      </c>
    </row>
    <row r="70" spans="3:7" ht="13.5">
      <c r="C70" s="97" t="s">
        <v>137</v>
      </c>
      <c r="D70" s="99"/>
      <c r="E70" s="106"/>
      <c r="F70" s="106">
        <f>F38-F69</f>
        <v>4190000</v>
      </c>
      <c r="G70" s="106">
        <f>G38-G69</f>
        <v>4190000</v>
      </c>
    </row>
    <row r="71" spans="3:7" ht="4.5" customHeight="1">
      <c r="C71" s="97"/>
      <c r="D71" s="99"/>
      <c r="E71" s="104"/>
      <c r="F71" s="104"/>
      <c r="G71" s="104"/>
    </row>
    <row r="72" spans="3:7" ht="13.5">
      <c r="C72" s="97" t="s">
        <v>138</v>
      </c>
      <c r="D72" s="107" t="s">
        <v>148</v>
      </c>
      <c r="E72" s="105"/>
      <c r="F72" s="105">
        <f>F70*20%-427500</f>
        <v>410500</v>
      </c>
      <c r="G72" s="105">
        <f>G70*20%-427500</f>
        <v>410500</v>
      </c>
    </row>
    <row r="73" spans="3:7" ht="13.5">
      <c r="C73" s="97" t="s">
        <v>140</v>
      </c>
      <c r="D73" s="99"/>
      <c r="E73" s="105"/>
      <c r="F73" s="105">
        <f>E70*10%</f>
        <v>0</v>
      </c>
      <c r="G73" s="105">
        <f>F70*10%</f>
        <v>419000</v>
      </c>
    </row>
    <row r="74" spans="3:7" ht="5.25" customHeight="1">
      <c r="C74" s="97"/>
      <c r="D74" s="99"/>
      <c r="E74" s="104"/>
      <c r="F74" s="104"/>
      <c r="G74" s="104"/>
    </row>
    <row r="75" spans="3:7" ht="13.5" hidden="1">
      <c r="C75" s="97"/>
      <c r="D75" s="99"/>
      <c r="E75" s="104"/>
      <c r="F75" s="104"/>
      <c r="G75" s="104"/>
    </row>
    <row r="76" spans="3:7" ht="13.5" hidden="1">
      <c r="C76" s="97" t="s">
        <v>148</v>
      </c>
      <c r="D76" s="99"/>
      <c r="E76" s="104"/>
      <c r="F76" s="104"/>
      <c r="G76" s="104"/>
    </row>
    <row r="77" spans="3:7" ht="13.5" hidden="1">
      <c r="C77" s="97" t="s">
        <v>146</v>
      </c>
      <c r="D77" s="99"/>
      <c r="E77" s="106">
        <f>E65+E72+E73</f>
        <v>0</v>
      </c>
      <c r="F77" s="106">
        <f>F65+F72+F73</f>
        <v>590500</v>
      </c>
      <c r="G77" s="106">
        <f>G65+G72+G73</f>
        <v>1009500</v>
      </c>
    </row>
    <row r="78" spans="3:7" ht="13.5" hidden="1">
      <c r="C78" s="97"/>
      <c r="D78" s="99"/>
      <c r="E78" s="104"/>
      <c r="F78" s="104"/>
      <c r="G78" s="104"/>
    </row>
    <row r="79" spans="3:7" ht="13.5">
      <c r="C79" s="97" t="s">
        <v>144</v>
      </c>
      <c r="D79" s="99"/>
      <c r="E79" s="118">
        <f>E62-E77</f>
        <v>0</v>
      </c>
      <c r="F79" s="118">
        <f>F62-F77</f>
        <v>4209500</v>
      </c>
      <c r="G79" s="118">
        <f>G62-G77</f>
        <v>3790500</v>
      </c>
    </row>
    <row r="80" spans="3:7" ht="13.5">
      <c r="C80" s="97"/>
      <c r="D80" s="99"/>
      <c r="E80" s="104"/>
      <c r="F80" s="104"/>
      <c r="G80" s="104"/>
    </row>
    <row r="81" spans="3:7" ht="13.5">
      <c r="C81" s="97" t="s">
        <v>147</v>
      </c>
      <c r="D81" s="99"/>
      <c r="E81" s="119">
        <f>E60+E79</f>
        <v>4129950.5</v>
      </c>
      <c r="F81" s="120">
        <f>F60+F79</f>
        <v>12621096.675499998</v>
      </c>
      <c r="G81" s="118">
        <f>G60+G79</f>
        <v>17102371.028405003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matsuki</dc:creator>
  <cp:keywords/>
  <dc:description/>
  <cp:lastModifiedBy>legal7</cp:lastModifiedBy>
  <dcterms:created xsi:type="dcterms:W3CDTF">2012-06-29T23:02:38Z</dcterms:created>
  <dcterms:modified xsi:type="dcterms:W3CDTF">2012-11-30T01:19:00Z</dcterms:modified>
  <cp:category/>
  <cp:version/>
  <cp:contentType/>
  <cp:contentStatus/>
</cp:coreProperties>
</file>